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wdp" ContentType="image/vnd.ms-photo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768" activeTab="4"/>
  </bookViews>
  <sheets>
    <sheet name="CLASSIFICA MASCHILE 13-14 anni" sheetId="5" r:id="rId1"/>
    <sheet name="CLASSIFICA MASCHILE Under 12" sheetId="11" r:id="rId2"/>
    <sheet name="CLASSIFICA FEMMINILE 13-14 anni" sheetId="9" r:id="rId3"/>
    <sheet name="SISTEMA" sheetId="10" state="hidden" r:id="rId4"/>
    <sheet name="CLASSIFICA FEMMINILE Under 12" sheetId="12" r:id="rId5"/>
    <sheet name="Istruzioni" sheetId="8" state="hidden" r:id="rId6"/>
    <sheet name="Statistiche per Responsabile" sheetId="7" r:id="rId7"/>
  </sheets>
  <definedNames>
    <definedName name="_xlnm.Print_Area" localSheetId="0">'CLASSIFICA MASCHILE 13-14 anni'!$A$2:$Y$12</definedName>
    <definedName name="_xlnm.Print_Area" localSheetId="1">'CLASSIFICA MASCHILE Under 12'!$A$2:$Y$13</definedName>
    <definedName name="CATEGORIA">SISTEMA!$C$3:$C$6</definedName>
    <definedName name="_xlnm.Print_Titles" localSheetId="0">'CLASSIFICA MASCHILE 13-14 anni'!$2:$6</definedName>
    <definedName name="_xlnm.Print_Titles" localSheetId="1">'CLASSIFICA MASCHILE Under 12'!$2:$6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Gianluca</author>
  </authors>
  <commentList>
    <comment ref="C16" authorId="0">
      <text>
        <r>
          <rPr>
            <b/>
            <sz val="9"/>
            <color indexed="10"/>
            <rFont val="Tahoma"/>
            <charset val="134"/>
          </rPr>
          <t>ATTENZIONE !
Qui vanno inseriti i numeri dei tesserati della Zona/Regione.
Tutti i numeri in BLU contengono formule.
NON TOCCARE.</t>
        </r>
      </text>
    </comment>
  </commentList>
</comments>
</file>

<file path=xl/sharedStrings.xml><?xml version="1.0" encoding="utf-8"?>
<sst xmlns="http://schemas.openxmlformats.org/spreadsheetml/2006/main" count="394" uniqueCount="148">
  <si>
    <t>CIRCUITO FEDERALE SARANNO FAMOSI 2024</t>
  </si>
  <si>
    <t>\</t>
  </si>
  <si>
    <t>CLASSIFICA MASCHILE 13 e 14 ANNI</t>
  </si>
  <si>
    <t>Zona 5</t>
  </si>
  <si>
    <t>1^ tappa</t>
  </si>
  <si>
    <t>2^ tappa</t>
  </si>
  <si>
    <t>3^ tappa</t>
  </si>
  <si>
    <t>4^ tappa</t>
  </si>
  <si>
    <t>5^ tappa</t>
  </si>
  <si>
    <t>6^ tappa</t>
  </si>
  <si>
    <t>7^ tappa</t>
  </si>
  <si>
    <t>8^ tappa</t>
  </si>
  <si>
    <t>9^ tappa</t>
  </si>
  <si>
    <t>10^ tappa</t>
  </si>
  <si>
    <t>11^ tappa</t>
  </si>
  <si>
    <t>12^ tappa</t>
  </si>
  <si>
    <t>13^ tappa</t>
  </si>
  <si>
    <t>FINALE DEL CIRCUITO MONTELUPO</t>
  </si>
  <si>
    <t>PUNTEGGIO FINALE</t>
  </si>
  <si>
    <t>Media
punti</t>
  </si>
  <si>
    <t>VALDICHIANA</t>
  </si>
  <si>
    <t>MONTELUPO</t>
  </si>
  <si>
    <t>CASENTINO</t>
  </si>
  <si>
    <t>UGOLINO</t>
  </si>
  <si>
    <t>CASTELFALFI</t>
  </si>
  <si>
    <t>PAVONIERE</t>
  </si>
  <si>
    <t>Circolo</t>
  </si>
  <si>
    <t>Elenco</t>
  </si>
  <si>
    <t>Nome Giocatore</t>
  </si>
  <si>
    <t>Anno di nascita</t>
  </si>
  <si>
    <t>Qualifica</t>
  </si>
  <si>
    <t>N° Gare</t>
  </si>
  <si>
    <t>24-mar</t>
  </si>
  <si>
    <t>14-apr</t>
  </si>
  <si>
    <t>12-mag</t>
  </si>
  <si>
    <t>12-giu</t>
  </si>
  <si>
    <t>16-giu</t>
  </si>
  <si>
    <t>25-giu</t>
  </si>
  <si>
    <t>29-ago</t>
  </si>
  <si>
    <t>29-set</t>
  </si>
  <si>
    <t>data9</t>
  </si>
  <si>
    <t>data10</t>
  </si>
  <si>
    <t>data11</t>
  </si>
  <si>
    <t>data12</t>
  </si>
  <si>
    <t>data13</t>
  </si>
  <si>
    <t>TOTALE</t>
  </si>
  <si>
    <t>Colonna16</t>
  </si>
  <si>
    <t>27-ott</t>
  </si>
  <si>
    <t>Colonna18</t>
  </si>
  <si>
    <t>Colonna1</t>
  </si>
  <si>
    <t>Colonna20</t>
  </si>
  <si>
    <t>FRANCESCHINI ALESSANDRO</t>
  </si>
  <si>
    <t>BG</t>
  </si>
  <si>
    <t>TERRENI EDOARDO</t>
  </si>
  <si>
    <t>COMPOSTO RICCARDO</t>
  </si>
  <si>
    <t>B</t>
  </si>
  <si>
    <t>VEZZOSI RAFFAELE</t>
  </si>
  <si>
    <t>BELLOSGUARDO</t>
  </si>
  <si>
    <t>NESTI GIANNI</t>
  </si>
  <si>
    <t>GALEOTTI ALESSIO</t>
  </si>
  <si>
    <t>POGGIO DE MEDICI</t>
  </si>
  <si>
    <t>PETROLATI MATTEO</t>
  </si>
  <si>
    <t>CLASSIFICA MASCHILE UNDER 12</t>
  </si>
  <si>
    <t>GIZZI TOMMASO</t>
  </si>
  <si>
    <t>BERTI EMILIO</t>
  </si>
  <si>
    <t>TIRRENIA</t>
  </si>
  <si>
    <t>COLOMBI GREGORIO</t>
  </si>
  <si>
    <t>LIVORNO</t>
  </si>
  <si>
    <t>GIUBILEI FLAVIO</t>
  </si>
  <si>
    <t/>
  </si>
  <si>
    <t>SIMI TOMMASO</t>
  </si>
  <si>
    <t>ALISEI</t>
  </si>
  <si>
    <t>FALVO FILIPPO</t>
  </si>
  <si>
    <t xml:space="preserve">TRENTANOVE MORGAN </t>
  </si>
  <si>
    <t xml:space="preserve"> </t>
  </si>
  <si>
    <t>CLASSIFICA FEMMINILE 13 e 14 ANNI</t>
  </si>
  <si>
    <t xml:space="preserve">MELI VITTORIA </t>
  </si>
  <si>
    <t>CECCARINI ALLEGRA</t>
  </si>
  <si>
    <t>TACCONI GINEVRA</t>
  </si>
  <si>
    <t>MAIONCHI MATILDE</t>
  </si>
  <si>
    <t>GUERRINI VIOLA</t>
  </si>
  <si>
    <t>TABELLA PUNTI</t>
  </si>
  <si>
    <t>ELENCO CATEGORIA</t>
  </si>
  <si>
    <t>1</t>
  </si>
  <si>
    <t>100</t>
  </si>
  <si>
    <t>BN</t>
  </si>
  <si>
    <t>DAL 41MO</t>
  </si>
  <si>
    <t>CLASSIFICA FEMMINILE UNDER 12</t>
  </si>
  <si>
    <t>MELI ELISABETTA</t>
  </si>
  <si>
    <t xml:space="preserve">CASTELFALFI </t>
  </si>
  <si>
    <t>UNGUREANU SOFIA</t>
  </si>
  <si>
    <t>Qualifica 
(B-BG-BN)</t>
  </si>
  <si>
    <t>N° GARE</t>
  </si>
  <si>
    <t>Circolo di appartenenza</t>
  </si>
  <si>
    <t>data1</t>
  </si>
  <si>
    <t>FINALE DEL CIRCUITO</t>
  </si>
  <si>
    <t>Schema dei Punti: il sistema attribuisce automaticamente questi punteggi</t>
  </si>
  <si>
    <t>MARIO ROSSI</t>
  </si>
  <si>
    <t>AUTOMATICO</t>
  </si>
  <si>
    <t>PROVA</t>
  </si>
  <si>
    <t>CALCOLA</t>
  </si>
  <si>
    <t>INSERIRE</t>
  </si>
  <si>
    <t>SCEGLIERE DALL'ELENCO A</t>
  </si>
  <si>
    <t xml:space="preserve">CALCOLATO </t>
  </si>
  <si>
    <t xml:space="preserve">INSERIRE CIRCOLO </t>
  </si>
  <si>
    <t>INSERIRE LA POSIZIONE</t>
  </si>
  <si>
    <t>Posizione in classifica</t>
  </si>
  <si>
    <t>Punti attribuiti</t>
  </si>
  <si>
    <t>AUTOMATICAMENTE</t>
  </si>
  <si>
    <t>NOME DEL GIOCATORE</t>
  </si>
  <si>
    <t>ANNO DI NASCITA</t>
  </si>
  <si>
    <t xml:space="preserve">DISCESA LA QUALIFICA TRA </t>
  </si>
  <si>
    <t>DI APPARTENENZA</t>
  </si>
  <si>
    <t>FINALE NELLA CLASSIFICA</t>
  </si>
  <si>
    <t>IL NUMERO</t>
  </si>
  <si>
    <t>DEL TORNEO</t>
  </si>
  <si>
    <t>IL PUNTEGGIO DA</t>
  </si>
  <si>
    <t>PROGRESSIVO</t>
  </si>
  <si>
    <t>VUOTO</t>
  </si>
  <si>
    <t>ATTRIBUIRE IN BASE</t>
  </si>
  <si>
    <t>USARE SOLO NUMERI</t>
  </si>
  <si>
    <t>ALLA POSIZIONE</t>
  </si>
  <si>
    <t>INTERI</t>
  </si>
  <si>
    <t>IN CLASSIFICA</t>
  </si>
  <si>
    <t>IN CASO DI PARIMERITO</t>
  </si>
  <si>
    <t>CLASSIFICA FINALE!</t>
  </si>
  <si>
    <t xml:space="preserve">TUTTI I GIOCATORI </t>
  </si>
  <si>
    <t>NON SERVONO INTERVENTI</t>
  </si>
  <si>
    <t xml:space="preserve">PRENDERANNO LO </t>
  </si>
  <si>
    <t>MANUALI</t>
  </si>
  <si>
    <t>STESSO PUNTEGGIO</t>
  </si>
  <si>
    <t>I PUNTI CONSIDERATI</t>
  </si>
  <si>
    <t>SONO AUTOMATICAMENTE</t>
  </si>
  <si>
    <t>MOLTIPLICATI PER</t>
  </si>
  <si>
    <t xml:space="preserve">1,5 COME DA </t>
  </si>
  <si>
    <t>MANUALE AZZURRO</t>
  </si>
  <si>
    <t>Dati statistici x Responsabile</t>
  </si>
  <si>
    <t>PRESENZE TOTALI</t>
  </si>
  <si>
    <t>PRESENZA MEDIA PER GARA</t>
  </si>
  <si>
    <t>N° PRESENZE PER ETA'</t>
  </si>
  <si>
    <t>Maschile</t>
  </si>
  <si>
    <t>Femminile</t>
  </si>
  <si>
    <t>MASCHI</t>
  </si>
  <si>
    <t>Totali</t>
  </si>
  <si>
    <t>FEMMINE</t>
  </si>
  <si>
    <t>PRESENZE B/BG/BN</t>
  </si>
  <si>
    <t>MEDIA N° GARE PER ATLETA</t>
  </si>
  <si>
    <t>NO QUALIFICA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</si>
</sst>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0.0"/>
    <numFmt numFmtId="179" formatCode="_-* #,##0_-;\-* #,##0_-;_-* &quot;-&quot;??_-;_-@_-"/>
  </numFmts>
  <fonts count="111">
    <font>
      <sz val="11"/>
      <color theme="1"/>
      <name val="Calibri"/>
      <charset val="134"/>
      <scheme val="minor"/>
    </font>
    <font>
      <b/>
      <sz val="16"/>
      <color rgb="FF0070C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name val="Arial"/>
      <charset val="134"/>
    </font>
    <font>
      <sz val="9"/>
      <color rgb="FF0070C0"/>
      <name val="Calibri"/>
      <charset val="134"/>
      <scheme val="minor"/>
    </font>
    <font>
      <b/>
      <sz val="12"/>
      <color rgb="FF0070C0"/>
      <name val="Calibri"/>
      <charset val="134"/>
      <scheme val="minor"/>
    </font>
    <font>
      <sz val="8"/>
      <color rgb="FF0070C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0"/>
      <color rgb="FFFF0000"/>
      <name val="Arial"/>
      <charset val="134"/>
    </font>
    <font>
      <b/>
      <sz val="8"/>
      <color rgb="FF0070C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70C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rgb="FF0070C0"/>
      <name val="Arial"/>
      <charset val="134"/>
    </font>
    <font>
      <b/>
      <sz val="10"/>
      <color theme="0"/>
      <name val="Arial"/>
      <charset val="134"/>
    </font>
    <font>
      <b/>
      <sz val="12"/>
      <color theme="0" tint="-0.0499893185216834"/>
      <name val="Arial"/>
      <charset val="134"/>
    </font>
    <font>
      <b/>
      <sz val="14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b/>
      <sz val="12"/>
      <color rgb="FF0070C0"/>
      <name val="Arial"/>
      <charset val="134"/>
    </font>
    <font>
      <sz val="12"/>
      <color theme="1"/>
      <name val="Calibri"/>
      <charset val="134"/>
      <scheme val="minor"/>
    </font>
    <font>
      <b/>
      <sz val="10"/>
      <color indexed="8"/>
      <name val="Arial"/>
      <charset val="134"/>
    </font>
    <font>
      <b/>
      <sz val="13"/>
      <color rgb="FF0070C0"/>
      <name val="Arial"/>
      <charset val="134"/>
    </font>
    <font>
      <b/>
      <sz val="12"/>
      <name val="Arial"/>
      <charset val="134"/>
    </font>
    <font>
      <b/>
      <sz val="12"/>
      <color theme="0"/>
      <name val="Arial"/>
      <charset val="134"/>
    </font>
    <font>
      <b/>
      <sz val="16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26"/>
      <color theme="0" tint="-0.0499893185216834"/>
      <name val="Arial Black"/>
      <charset val="134"/>
    </font>
    <font>
      <sz val="11"/>
      <color theme="0" tint="-0.0499893185216834"/>
      <name val="Calibri"/>
      <charset val="134"/>
      <scheme val="minor"/>
    </font>
    <font>
      <b/>
      <sz val="22"/>
      <color theme="0" tint="-0.0499893185216834"/>
      <name val="Arial Black"/>
      <charset val="134"/>
    </font>
    <font>
      <b/>
      <sz val="18"/>
      <color theme="0" tint="-0.0499893185216834"/>
      <name val="Arial Black"/>
      <charset val="134"/>
    </font>
    <font>
      <b/>
      <sz val="20"/>
      <color theme="0" tint="-0.0499893185216834"/>
      <name val="Calibri"/>
      <charset val="134"/>
      <scheme val="minor"/>
    </font>
    <font>
      <b/>
      <sz val="22"/>
      <color theme="0" tint="-0.0499893185216834"/>
      <name val="Arial"/>
      <charset val="134"/>
    </font>
    <font>
      <b/>
      <sz val="14"/>
      <color theme="0" tint="-0.0499893185216834"/>
      <name val="Calibri"/>
      <charset val="134"/>
      <scheme val="minor"/>
    </font>
    <font>
      <b/>
      <sz val="9"/>
      <color theme="0"/>
      <name val="Arial"/>
      <charset val="134"/>
    </font>
    <font>
      <b/>
      <sz val="14"/>
      <color rgb="FF0070C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2"/>
      <color indexed="8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rgb="FF0070C0"/>
      <name val="Arial"/>
      <charset val="134"/>
    </font>
    <font>
      <b/>
      <sz val="12"/>
      <color theme="1"/>
      <name val="Arial Black"/>
      <charset val="134"/>
    </font>
    <font>
      <b/>
      <sz val="14"/>
      <color theme="0"/>
      <name val="Arial"/>
      <charset val="134"/>
    </font>
    <font>
      <b/>
      <sz val="11"/>
      <color theme="1"/>
      <name val="Arial"/>
      <charset val="134"/>
    </font>
    <font>
      <b/>
      <sz val="11"/>
      <color theme="0" tint="-0.149998474074526"/>
      <name val="Arial"/>
      <charset val="134"/>
    </font>
    <font>
      <b/>
      <sz val="12"/>
      <color rgb="FFFF0000"/>
      <name val="Arial"/>
      <charset val="134"/>
    </font>
    <font>
      <sz val="11"/>
      <color theme="0" tint="-0.149998474074526"/>
      <name val="Arial"/>
      <charset val="134"/>
    </font>
    <font>
      <sz val="11"/>
      <color theme="1"/>
      <name val="Arial"/>
      <charset val="134"/>
    </font>
    <font>
      <b/>
      <sz val="13"/>
      <color rgb="FF0070C0"/>
      <name val="Arial"/>
      <charset val="134"/>
    </font>
    <font>
      <sz val="11"/>
      <color theme="0" tint="-0.149998474074526"/>
      <name val="Arial"/>
      <charset val="134"/>
    </font>
    <font>
      <sz val="11"/>
      <color theme="1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6"/>
      <color theme="0" tint="-0.0499893185216834"/>
      <name val="Arial"/>
      <charset val="134"/>
    </font>
    <font>
      <b/>
      <sz val="14"/>
      <color theme="1"/>
      <name val="Calibri"/>
      <charset val="134"/>
      <scheme val="minor"/>
    </font>
    <font>
      <sz val="8"/>
      <color rgb="FFFF0000"/>
      <name val="Calibri"/>
      <charset val="134"/>
      <scheme val="minor"/>
    </font>
    <font>
      <b/>
      <sz val="16"/>
      <color rgb="FFFF0000"/>
      <name val="Arial"/>
      <charset val="134"/>
    </font>
    <font>
      <sz val="8"/>
      <color rgb="FF0070C0"/>
      <name val="Arial"/>
      <charset val="134"/>
    </font>
    <font>
      <b/>
      <sz val="14"/>
      <color rgb="FF002060"/>
      <name val="Arial"/>
      <charset val="134"/>
    </font>
    <font>
      <b/>
      <sz val="9"/>
      <color indexed="8"/>
      <name val="Arial"/>
      <charset val="134"/>
    </font>
    <font>
      <sz val="8"/>
      <color indexed="8"/>
      <name val="Arial"/>
      <charset val="134"/>
    </font>
    <font>
      <b/>
      <sz val="8"/>
      <color rgb="FFFF0000"/>
      <name val="Calibri"/>
      <charset val="134"/>
      <scheme val="minor"/>
    </font>
    <font>
      <sz val="9"/>
      <color indexed="8"/>
      <name val="Arial"/>
      <charset val="134"/>
    </font>
    <font>
      <b/>
      <sz val="9.85"/>
      <color indexed="8"/>
      <name val="Arial"/>
      <charset val="13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0" tint="-0.0499893185216834"/>
      <name val="Calibri"/>
      <charset val="134"/>
      <scheme val="minor"/>
    </font>
    <font>
      <b/>
      <sz val="8"/>
      <color indexed="8"/>
      <name val="Arial"/>
      <charset val="134"/>
    </font>
    <font>
      <sz val="11"/>
      <color rgb="FFFF0000"/>
      <name val="Calibri"/>
      <charset val="134"/>
      <scheme val="minor"/>
    </font>
    <font>
      <b/>
      <sz val="20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0070C0"/>
      <name val="Arial"/>
      <charset val="134"/>
    </font>
    <font>
      <sz val="12"/>
      <color indexed="8"/>
      <name val="Arial"/>
      <charset val="134"/>
    </font>
    <font>
      <b/>
      <sz val="26"/>
      <color theme="1"/>
      <name val="Calibri"/>
      <charset val="134"/>
      <scheme val="minor"/>
    </font>
    <font>
      <b/>
      <sz val="11"/>
      <color theme="1"/>
      <name val="Arial Black"/>
      <charset val="134"/>
    </font>
    <font>
      <sz val="8"/>
      <color theme="0" tint="-0.149998474074526"/>
      <name val="Arial"/>
      <charset val="134"/>
    </font>
    <font>
      <sz val="8"/>
      <color theme="0" tint="-0.149998474074526"/>
      <name val="Arial"/>
      <charset val="134"/>
    </font>
    <font>
      <b/>
      <sz val="10"/>
      <color rgb="FFFF0000"/>
      <name val="Calibri"/>
      <charset val="134"/>
      <scheme val="minor"/>
    </font>
    <font>
      <b/>
      <sz val="8"/>
      <color rgb="FFFF0000"/>
      <name val="Arial"/>
      <charset val="134"/>
    </font>
    <font>
      <b/>
      <sz val="9"/>
      <color rgb="FFFF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color indexed="10"/>
      <name val="Tahoma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E10C1"/>
        <bgColor indexed="6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F1984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399975585192419"/>
      </left>
      <right/>
      <top/>
      <bottom style="thin">
        <color theme="4" tint="0.399975585192419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176" fontId="9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90" fillId="0" borderId="0" applyFont="0" applyFill="0" applyBorder="0" applyAlignment="0" applyProtection="0">
      <alignment vertical="center"/>
    </xf>
    <xf numFmtId="177" fontId="90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0" fillId="19" borderId="29" applyNumberFormat="0" applyFon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98" fillId="0" borderId="3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20" borderId="32" applyNumberFormat="0" applyAlignment="0" applyProtection="0">
      <alignment vertical="center"/>
    </xf>
    <xf numFmtId="0" fontId="100" fillId="21" borderId="33" applyNumberFormat="0" applyAlignment="0" applyProtection="0">
      <alignment vertical="center"/>
    </xf>
    <xf numFmtId="0" fontId="101" fillId="21" borderId="32" applyNumberFormat="0" applyAlignment="0" applyProtection="0">
      <alignment vertical="center"/>
    </xf>
    <xf numFmtId="0" fontId="102" fillId="22" borderId="34" applyNumberFormat="0" applyAlignment="0" applyProtection="0">
      <alignment vertical="center"/>
    </xf>
    <xf numFmtId="0" fontId="103" fillId="0" borderId="35" applyNumberFormat="0" applyFill="0" applyAlignment="0" applyProtection="0">
      <alignment vertical="center"/>
    </xf>
    <xf numFmtId="0" fontId="104" fillId="0" borderId="36" applyNumberFormat="0" applyFill="0" applyAlignment="0" applyProtection="0">
      <alignment vertical="center"/>
    </xf>
    <xf numFmtId="0" fontId="105" fillId="23" borderId="0" applyNumberFormat="0" applyBorder="0" applyAlignment="0" applyProtection="0">
      <alignment vertical="center"/>
    </xf>
    <xf numFmtId="0" fontId="106" fillId="24" borderId="0" applyNumberFormat="0" applyBorder="0" applyAlignment="0" applyProtection="0">
      <alignment vertical="center"/>
    </xf>
    <xf numFmtId="0" fontId="107" fillId="25" borderId="0" applyNumberFormat="0" applyBorder="0" applyAlignment="0" applyProtection="0">
      <alignment vertical="center"/>
    </xf>
    <xf numFmtId="0" fontId="108" fillId="26" borderId="0" applyNumberFormat="0" applyBorder="0" applyAlignment="0" applyProtection="0">
      <alignment vertical="center"/>
    </xf>
    <xf numFmtId="0" fontId="109" fillId="27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0" fontId="108" fillId="30" borderId="0" applyNumberFormat="0" applyBorder="0" applyAlignment="0" applyProtection="0">
      <alignment vertical="center"/>
    </xf>
    <xf numFmtId="0" fontId="109" fillId="31" borderId="0" applyNumberFormat="0" applyBorder="0" applyAlignment="0" applyProtection="0">
      <alignment vertical="center"/>
    </xf>
    <xf numFmtId="0" fontId="109" fillId="32" borderId="0" applyNumberFormat="0" applyBorder="0" applyAlignment="0" applyProtection="0">
      <alignment vertical="center"/>
    </xf>
    <xf numFmtId="0" fontId="108" fillId="33" borderId="0" applyNumberFormat="0" applyBorder="0" applyAlignment="0" applyProtection="0">
      <alignment vertical="center"/>
    </xf>
    <xf numFmtId="0" fontId="108" fillId="34" borderId="0" applyNumberFormat="0" applyBorder="0" applyAlignment="0" applyProtection="0">
      <alignment vertical="center"/>
    </xf>
    <xf numFmtId="0" fontId="109" fillId="35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0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4" borderId="0" applyNumberFormat="0" applyBorder="0" applyAlignment="0" applyProtection="0">
      <alignment vertical="center"/>
    </xf>
    <xf numFmtId="0" fontId="108" fillId="45" borderId="0" applyNumberFormat="0" applyBorder="0" applyAlignment="0" applyProtection="0">
      <alignment vertical="center"/>
    </xf>
    <xf numFmtId="0" fontId="108" fillId="46" borderId="0" applyNumberFormat="0" applyBorder="0" applyAlignment="0" applyProtection="0">
      <alignment vertical="center"/>
    </xf>
    <xf numFmtId="0" fontId="109" fillId="47" borderId="0" applyNumberFormat="0" applyBorder="0" applyAlignment="0" applyProtection="0">
      <alignment vertical="center"/>
    </xf>
    <xf numFmtId="0" fontId="109" fillId="48" borderId="0" applyNumberFormat="0" applyBorder="0" applyAlignment="0" applyProtection="0">
      <alignment vertical="center"/>
    </xf>
    <xf numFmtId="0" fontId="108" fillId="49" borderId="0" applyNumberFormat="0" applyBorder="0" applyAlignment="0" applyProtection="0">
      <alignment vertical="center"/>
    </xf>
  </cellStyleXfs>
  <cellXfs count="2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9" fontId="5" fillId="0" borderId="0" xfId="3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78" fontId="2" fillId="0" borderId="6" xfId="0" applyNumberFormat="1" applyFont="1" applyBorder="1" applyAlignment="1">
      <alignment horizontal="center"/>
    </xf>
    <xf numFmtId="9" fontId="7" fillId="0" borderId="0" xfId="3" applyFont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16" fontId="17" fillId="3" borderId="9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1" fontId="22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11" fillId="7" borderId="0" xfId="0" applyFont="1" applyFill="1"/>
    <xf numFmtId="16" fontId="26" fillId="8" borderId="9" xfId="0" applyNumberFormat="1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vertical="center" wrapText="1"/>
    </xf>
    <xf numFmtId="16" fontId="28" fillId="8" borderId="11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6" fontId="28" fillId="8" borderId="0" xfId="0" applyNumberFormat="1" applyFont="1" applyFill="1" applyAlignment="1">
      <alignment horizontal="center" vertical="center" wrapText="1"/>
    </xf>
    <xf numFmtId="0" fontId="31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0" xfId="0" applyFont="1" applyFill="1"/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3" xfId="0" applyFont="1" applyFill="1" applyBorder="1" applyAlignment="1">
      <alignment horizontal="center" vertical="center" wrapText="1"/>
    </xf>
    <xf numFmtId="0" fontId="33" fillId="12" borderId="0" xfId="0" applyFont="1" applyFill="1" applyAlignment="1">
      <alignment vertical="center" wrapText="1"/>
    </xf>
    <xf numFmtId="0" fontId="34" fillId="12" borderId="0" xfId="0" applyFont="1" applyFill="1" applyAlignment="1">
      <alignment vertical="center"/>
    </xf>
    <xf numFmtId="0" fontId="34" fillId="12" borderId="0" xfId="0" applyFont="1" applyFill="1" applyAlignment="1">
      <alignment horizontal="center" vertical="center"/>
    </xf>
    <xf numFmtId="0" fontId="35" fillId="12" borderId="0" xfId="0" applyFont="1" applyFill="1" applyAlignment="1">
      <alignment vertical="center"/>
    </xf>
    <xf numFmtId="0" fontId="36" fillId="13" borderId="14" xfId="0" applyFont="1" applyFill="1" applyBorder="1" applyAlignment="1">
      <alignment horizontal="center" vertical="center" wrapText="1"/>
    </xf>
    <xf numFmtId="0" fontId="36" fillId="13" borderId="11" xfId="0" applyFont="1" applyFill="1" applyBorder="1" applyAlignment="1">
      <alignment horizontal="center" vertical="center" wrapText="1"/>
    </xf>
    <xf numFmtId="0" fontId="36" fillId="13" borderId="15" xfId="0" applyFont="1" applyFill="1" applyBorder="1" applyAlignment="1">
      <alignment horizontal="center" vertical="center" wrapText="1"/>
    </xf>
    <xf numFmtId="0" fontId="37" fillId="12" borderId="0" xfId="0" applyFont="1" applyFill="1" applyAlignment="1">
      <alignment vertical="center"/>
    </xf>
    <xf numFmtId="0" fontId="38" fillId="13" borderId="14" xfId="0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0" fontId="36" fillId="13" borderId="16" xfId="0" applyFont="1" applyFill="1" applyBorder="1" applyAlignment="1">
      <alignment horizontal="center" vertical="center" wrapText="1"/>
    </xf>
    <xf numFmtId="0" fontId="36" fillId="13" borderId="17" xfId="0" applyFont="1" applyFill="1" applyBorder="1" applyAlignment="1">
      <alignment horizontal="center" vertical="center" wrapText="1"/>
    </xf>
    <xf numFmtId="0" fontId="36" fillId="13" borderId="18" xfId="0" applyFont="1" applyFill="1" applyBorder="1" applyAlignment="1">
      <alignment horizontal="center" vertical="center" wrapText="1"/>
    </xf>
    <xf numFmtId="0" fontId="39" fillId="12" borderId="0" xfId="0" applyFont="1" applyFill="1" applyAlignment="1">
      <alignment vertical="center"/>
    </xf>
    <xf numFmtId="0" fontId="38" fillId="13" borderId="16" xfId="0" applyFont="1" applyFill="1" applyBorder="1" applyAlignment="1">
      <alignment horizontal="center" vertical="center"/>
    </xf>
    <xf numFmtId="0" fontId="38" fillId="13" borderId="17" xfId="0" applyFont="1" applyFill="1" applyBorder="1" applyAlignment="1">
      <alignment horizontal="center" vertical="center"/>
    </xf>
    <xf numFmtId="0" fontId="0" fillId="12" borderId="0" xfId="0" applyFont="1" applyFill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16" fontId="40" fillId="3" borderId="9" xfId="0" applyNumberFormat="1" applyFont="1" applyFill="1" applyBorder="1" applyAlignment="1" applyProtection="1">
      <alignment horizontal="center" vertical="center"/>
      <protection locked="0"/>
    </xf>
    <xf numFmtId="16" fontId="17" fillId="3" borderId="9" xfId="0" applyNumberFormat="1" applyFont="1" applyFill="1" applyBorder="1" applyAlignment="1" applyProtection="1">
      <alignment horizontal="center" vertical="center"/>
      <protection locked="0"/>
    </xf>
    <xf numFmtId="0" fontId="41" fillId="2" borderId="1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/>
    </xf>
    <xf numFmtId="16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1" fontId="22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42" fillId="0" borderId="15" xfId="0" applyFont="1" applyBorder="1" applyAlignment="1">
      <alignment horizontal="center" vertical="center"/>
    </xf>
    <xf numFmtId="0" fontId="43" fillId="0" borderId="14" xfId="0" applyFont="1" applyBorder="1" applyAlignment="1" applyProtection="1">
      <alignment vertical="center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15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5" fillId="0" borderId="15" xfId="0" applyFont="1" applyBorder="1" applyAlignment="1" applyProtection="1">
      <alignment horizontal="center" vertical="center"/>
      <protection locked="0"/>
    </xf>
    <xf numFmtId="0" fontId="46" fillId="0" borderId="15" xfId="0" applyFont="1" applyBorder="1" applyAlignment="1" applyProtection="1">
      <alignment vertical="center"/>
      <protection locked="0"/>
    </xf>
    <xf numFmtId="0" fontId="4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6" fillId="0" borderId="21" xfId="0" applyFont="1" applyBorder="1" applyAlignment="1" applyProtection="1">
      <alignment vertical="center"/>
      <protection locked="0"/>
    </xf>
    <xf numFmtId="0" fontId="45" fillId="0" borderId="21" xfId="0" applyFont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0" fontId="50" fillId="8" borderId="22" xfId="0" applyFont="1" applyFill="1" applyBorder="1" applyAlignment="1">
      <alignment horizontal="center" vertical="center" wrapText="1"/>
    </xf>
    <xf numFmtId="0" fontId="51" fillId="9" borderId="22" xfId="0" applyFont="1" applyFill="1" applyBorder="1" applyAlignment="1">
      <alignment horizontal="center" vertical="center" wrapText="1"/>
    </xf>
    <xf numFmtId="1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27" fillId="13" borderId="19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/>
    </xf>
    <xf numFmtId="0" fontId="50" fillId="8" borderId="19" xfId="0" applyFont="1" applyFill="1" applyBorder="1" applyAlignment="1">
      <alignment horizontal="center" vertical="center" wrapText="1"/>
    </xf>
    <xf numFmtId="16" fontId="17" fillId="3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8" xfId="0" applyFont="1" applyFill="1" applyBorder="1" applyAlignment="1">
      <alignment horizontal="center" vertical="center"/>
    </xf>
    <xf numFmtId="16" fontId="26" fillId="8" borderId="19" xfId="0" applyNumberFormat="1" applyFont="1" applyFill="1" applyBorder="1" applyAlignment="1" applyProtection="1">
      <alignment horizontal="center" vertical="center"/>
      <protection locked="0"/>
    </xf>
    <xf numFmtId="0" fontId="53" fillId="2" borderId="19" xfId="0" applyFont="1" applyFill="1" applyBorder="1" applyAlignment="1">
      <alignment horizontal="center" vertical="center"/>
    </xf>
    <xf numFmtId="0" fontId="54" fillId="9" borderId="19" xfId="0" applyFont="1" applyFill="1" applyBorder="1" applyAlignment="1">
      <alignment vertical="center" wrapText="1"/>
    </xf>
    <xf numFmtId="1" fontId="25" fillId="0" borderId="19" xfId="0" applyNumberFormat="1" applyFont="1" applyBorder="1" applyAlignment="1">
      <alignment horizontal="center" vertical="center"/>
    </xf>
    <xf numFmtId="2" fontId="55" fillId="2" borderId="9" xfId="0" applyNumberFormat="1" applyFont="1" applyFill="1" applyBorder="1" applyAlignment="1">
      <alignment vertical="center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1" fontId="56" fillId="2" borderId="9" xfId="0" applyNumberFormat="1" applyFont="1" applyFill="1" applyBorder="1" applyAlignment="1">
      <alignment vertical="center"/>
    </xf>
    <xf numFmtId="1" fontId="29" fillId="0" borderId="9" xfId="0" applyNumberFormat="1" applyFont="1" applyBorder="1" applyAlignment="1">
      <alignment horizontal="center" vertical="center"/>
    </xf>
    <xf numFmtId="1" fontId="57" fillId="0" borderId="21" xfId="0" applyNumberFormat="1" applyFont="1" applyBorder="1" applyAlignment="1">
      <alignment horizontal="center" vertical="center"/>
    </xf>
    <xf numFmtId="2" fontId="58" fillId="2" borderId="21" xfId="0" applyNumberFormat="1" applyFont="1" applyFill="1" applyBorder="1" applyAlignment="1">
      <alignment vertical="center"/>
    </xf>
    <xf numFmtId="1" fontId="45" fillId="0" borderId="21" xfId="0" applyNumberFormat="1" applyFont="1" applyBorder="1" applyAlignment="1" applyProtection="1">
      <alignment horizontal="center" vertical="center"/>
      <protection locked="0"/>
    </xf>
    <xf numFmtId="1" fontId="59" fillId="2" borderId="21" xfId="0" applyNumberFormat="1" applyFont="1" applyFill="1" applyBorder="1" applyAlignment="1">
      <alignment vertical="center"/>
    </xf>
    <xf numFmtId="1" fontId="60" fillId="0" borderId="21" xfId="0" applyNumberFormat="1" applyFont="1" applyBorder="1" applyAlignment="1">
      <alignment horizontal="center" vertical="center"/>
    </xf>
    <xf numFmtId="0" fontId="33" fillId="11" borderId="24" xfId="0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38" fillId="13" borderId="18" xfId="0" applyFont="1" applyFill="1" applyBorder="1" applyAlignment="1">
      <alignment horizontal="center" vertical="center"/>
    </xf>
    <xf numFmtId="0" fontId="61" fillId="2" borderId="22" xfId="0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61" fillId="10" borderId="16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1" fontId="30" fillId="2" borderId="23" xfId="0" applyNumberFormat="1" applyFont="1" applyFill="1" applyBorder="1" applyAlignment="1">
      <alignment horizontal="center" vertical="center"/>
    </xf>
    <xf numFmtId="1" fontId="63" fillId="2" borderId="1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right" vertical="center"/>
    </xf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9" fontId="32" fillId="0" borderId="0" xfId="3" applyFont="1" applyFill="1" applyAlignment="1" applyProtection="1">
      <alignment horizontal="center" vertical="center"/>
    </xf>
    <xf numFmtId="0" fontId="68" fillId="0" borderId="0" xfId="0" applyFont="1" applyAlignment="1">
      <alignment horizontal="center" vertical="center"/>
    </xf>
    <xf numFmtId="9" fontId="64" fillId="0" borderId="0" xfId="3" applyFont="1" applyFill="1" applyAlignment="1" applyProtection="1">
      <alignment horizontal="left" vertical="center"/>
    </xf>
    <xf numFmtId="0" fontId="69" fillId="0" borderId="0" xfId="0" applyFont="1" applyAlignment="1">
      <alignment vertical="center" wrapText="1" readingOrder="1"/>
    </xf>
    <xf numFmtId="9" fontId="14" fillId="0" borderId="0" xfId="3" applyFont="1" applyFill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9" fontId="70" fillId="0" borderId="0" xfId="3" applyFont="1" applyFill="1" applyAlignment="1" applyProtection="1">
      <alignment horizontal="center" vertical="center"/>
    </xf>
    <xf numFmtId="0" fontId="69" fillId="0" borderId="0" xfId="0" applyFont="1" applyAlignment="1">
      <alignment horizontal="center" vertical="center" wrapText="1" readingOrder="1"/>
    </xf>
    <xf numFmtId="0" fontId="71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3" fillId="0" borderId="0" xfId="0" applyFont="1"/>
    <xf numFmtId="0" fontId="74" fillId="14" borderId="25" xfId="0" applyFont="1" applyFill="1" applyBorder="1" applyAlignment="1">
      <alignment horizontal="right" vertical="center"/>
    </xf>
    <xf numFmtId="0" fontId="74" fillId="14" borderId="26" xfId="0" applyFont="1" applyFill="1" applyBorder="1" applyAlignment="1">
      <alignment horizontal="right" vertical="center"/>
    </xf>
    <xf numFmtId="0" fontId="74" fillId="0" borderId="27" xfId="0" applyFont="1" applyBorder="1" applyAlignment="1">
      <alignment horizontal="right" vertical="center"/>
    </xf>
    <xf numFmtId="0" fontId="74" fillId="0" borderId="28" xfId="0" applyFont="1" applyBorder="1" applyAlignment="1">
      <alignment horizontal="right" vertical="center"/>
    </xf>
    <xf numFmtId="0" fontId="74" fillId="14" borderId="27" xfId="0" applyFont="1" applyFill="1" applyBorder="1" applyAlignment="1">
      <alignment horizontal="right" vertical="center"/>
    </xf>
    <xf numFmtId="0" fontId="74" fillId="14" borderId="28" xfId="0" applyFont="1" applyFill="1" applyBorder="1" applyAlignment="1">
      <alignment horizontal="right" vertical="center"/>
    </xf>
    <xf numFmtId="1" fontId="74" fillId="14" borderId="28" xfId="0" applyNumberFormat="1" applyFont="1" applyFill="1" applyBorder="1" applyAlignment="1">
      <alignment horizontal="right" vertical="center"/>
    </xf>
    <xf numFmtId="1" fontId="74" fillId="0" borderId="28" xfId="0" applyNumberFormat="1" applyFont="1" applyBorder="1" applyAlignment="1">
      <alignment horizontal="right" vertical="center"/>
    </xf>
    <xf numFmtId="0" fontId="74" fillId="0" borderId="27" xfId="0" applyFont="1" applyBorder="1" applyAlignment="1">
      <alignment vertical="center"/>
    </xf>
    <xf numFmtId="0" fontId="74" fillId="14" borderId="0" xfId="0" applyFont="1" applyFill="1" applyAlignment="1">
      <alignment horizontal="right" vertical="center"/>
    </xf>
    <xf numFmtId="1" fontId="73" fillId="0" borderId="0" xfId="0" applyNumberFormat="1" applyFont="1"/>
    <xf numFmtId="10" fontId="73" fillId="0" borderId="0" xfId="3" applyNumberFormat="1" applyFont="1"/>
    <xf numFmtId="179" fontId="73" fillId="0" borderId="0" xfId="1" applyNumberFormat="1" applyFont="1"/>
    <xf numFmtId="1" fontId="73" fillId="0" borderId="0" xfId="1" applyNumberFormat="1" applyFont="1"/>
    <xf numFmtId="0" fontId="75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20" fillId="0" borderId="9" xfId="0" applyFont="1" applyBorder="1" applyAlignment="1" applyProtection="1">
      <alignment vertical="center"/>
      <protection locked="0"/>
    </xf>
    <xf numFmtId="0" fontId="45" fillId="0" borderId="9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45" fillId="15" borderId="9" xfId="0" applyFont="1" applyFill="1" applyBorder="1" applyAlignment="1" applyProtection="1">
      <alignment horizontal="center" vertical="center"/>
      <protection locked="0"/>
    </xf>
    <xf numFmtId="1" fontId="57" fillId="0" borderId="19" xfId="0" applyNumberFormat="1" applyFont="1" applyBorder="1" applyAlignment="1">
      <alignment horizontal="center" vertical="center"/>
    </xf>
    <xf numFmtId="2" fontId="58" fillId="2" borderId="9" xfId="0" applyNumberFormat="1" applyFont="1" applyFill="1" applyBorder="1" applyAlignment="1">
      <alignment vertical="center"/>
    </xf>
    <xf numFmtId="1" fontId="45" fillId="0" borderId="9" xfId="0" applyNumberFormat="1" applyFont="1" applyBorder="1" applyAlignment="1" applyProtection="1">
      <alignment horizontal="center" vertical="center"/>
      <protection locked="0"/>
    </xf>
    <xf numFmtId="1" fontId="59" fillId="2" borderId="9" xfId="0" applyNumberFormat="1" applyFont="1" applyFill="1" applyBorder="1" applyAlignment="1">
      <alignment vertical="center"/>
    </xf>
    <xf numFmtId="1" fontId="60" fillId="0" borderId="9" xfId="0" applyNumberFormat="1" applyFont="1" applyBorder="1" applyAlignment="1">
      <alignment horizontal="center" vertical="center"/>
    </xf>
    <xf numFmtId="1" fontId="25" fillId="0" borderId="9" xfId="0" applyNumberFormat="1" applyFont="1" applyBorder="1" applyAlignment="1">
      <alignment horizontal="center" vertical="center"/>
    </xf>
    <xf numFmtId="1" fontId="57" fillId="0" borderId="9" xfId="0" applyNumberFormat="1" applyFont="1" applyBorder="1" applyAlignment="1">
      <alignment horizontal="center" vertical="center"/>
    </xf>
    <xf numFmtId="1" fontId="63" fillId="2" borderId="23" xfId="0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9" fontId="70" fillId="0" borderId="0" xfId="3" applyFont="1" applyFill="1" applyAlignment="1" applyProtection="1">
      <alignment horizontal="left" vertical="center"/>
    </xf>
    <xf numFmtId="0" fontId="76" fillId="0" borderId="0" xfId="0" applyFont="1" applyAlignment="1">
      <alignment vertical="center" wrapText="1" readingOrder="1"/>
    </xf>
    <xf numFmtId="0" fontId="77" fillId="0" borderId="0" xfId="0" applyFont="1" applyAlignment="1">
      <alignment vertical="center"/>
    </xf>
    <xf numFmtId="0" fontId="36" fillId="16" borderId="14" xfId="0" applyFont="1" applyFill="1" applyBorder="1" applyAlignment="1">
      <alignment horizontal="center" vertical="center" wrapText="1"/>
    </xf>
    <xf numFmtId="0" fontId="36" fillId="16" borderId="11" xfId="0" applyFont="1" applyFill="1" applyBorder="1" applyAlignment="1">
      <alignment horizontal="center" vertical="center" wrapText="1"/>
    </xf>
    <xf numFmtId="0" fontId="36" fillId="16" borderId="15" xfId="0" applyFont="1" applyFill="1" applyBorder="1" applyAlignment="1">
      <alignment horizontal="center" vertical="center" wrapText="1"/>
    </xf>
    <xf numFmtId="0" fontId="78" fillId="12" borderId="0" xfId="0" applyFont="1" applyFill="1" applyAlignment="1">
      <alignment vertical="center"/>
    </xf>
    <xf numFmtId="0" fontId="38" fillId="17" borderId="14" xfId="0" applyFont="1" applyFill="1" applyBorder="1" applyAlignment="1">
      <alignment horizontal="center" vertical="center"/>
    </xf>
    <xf numFmtId="0" fontId="38" fillId="17" borderId="11" xfId="0" applyFont="1" applyFill="1" applyBorder="1" applyAlignment="1">
      <alignment horizontal="center" vertical="center"/>
    </xf>
    <xf numFmtId="0" fontId="36" fillId="16" borderId="16" xfId="0" applyFont="1" applyFill="1" applyBorder="1" applyAlignment="1">
      <alignment horizontal="center" vertical="center" wrapText="1"/>
    </xf>
    <xf numFmtId="0" fontId="36" fillId="16" borderId="17" xfId="0" applyFont="1" applyFill="1" applyBorder="1" applyAlignment="1">
      <alignment horizontal="center" vertical="center" wrapText="1"/>
    </xf>
    <xf numFmtId="0" fontId="36" fillId="16" borderId="18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vertical="center"/>
    </xf>
    <xf numFmtId="0" fontId="38" fillId="17" borderId="16" xfId="0" applyFont="1" applyFill="1" applyBorder="1" applyAlignment="1">
      <alignment horizontal="center" vertical="center"/>
    </xf>
    <xf numFmtId="0" fontId="38" fillId="17" borderId="17" xfId="0" applyFont="1" applyFill="1" applyBorder="1" applyAlignment="1">
      <alignment horizontal="center" vertical="center"/>
    </xf>
    <xf numFmtId="0" fontId="27" fillId="18" borderId="19" xfId="0" applyFont="1" applyFill="1" applyBorder="1" applyAlignment="1">
      <alignment horizontal="center" vertical="center"/>
    </xf>
    <xf numFmtId="16" fontId="27" fillId="18" borderId="9" xfId="0" applyNumberFormat="1" applyFont="1" applyFill="1" applyBorder="1" applyAlignment="1" applyProtection="1">
      <alignment horizontal="center" vertical="center"/>
      <protection locked="0"/>
    </xf>
    <xf numFmtId="16" fontId="27" fillId="18" borderId="19" xfId="0" applyNumberFormat="1" applyFont="1" applyFill="1" applyBorder="1" applyAlignment="1" applyProtection="1">
      <alignment horizontal="center" vertical="center"/>
      <protection locked="0"/>
    </xf>
    <xf numFmtId="0" fontId="79" fillId="0" borderId="20" xfId="0" applyFont="1" applyBorder="1" applyAlignment="1">
      <alignment horizontal="center" vertical="center"/>
    </xf>
    <xf numFmtId="0" fontId="24" fillId="0" borderId="21" xfId="0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center" vertical="center"/>
      <protection locked="0"/>
    </xf>
    <xf numFmtId="0" fontId="43" fillId="0" borderId="9" xfId="0" applyFont="1" applyBorder="1" applyAlignment="1" applyProtection="1">
      <alignment horizontal="center" vertical="center"/>
      <protection locked="0"/>
    </xf>
    <xf numFmtId="0" fontId="80" fillId="0" borderId="11" xfId="0" applyFont="1" applyBorder="1" applyAlignment="1">
      <alignment horizontal="center" vertical="center"/>
    </xf>
    <xf numFmtId="0" fontId="43" fillId="0" borderId="11" xfId="0" applyFont="1" applyBorder="1" applyAlignment="1" applyProtection="1">
      <alignment horizontal="center" vertical="center"/>
      <protection locked="0"/>
    </xf>
    <xf numFmtId="1" fontId="81" fillId="0" borderId="11" xfId="0" applyNumberFormat="1" applyFont="1" applyBorder="1" applyAlignment="1">
      <alignment horizontal="center" vertical="center"/>
    </xf>
    <xf numFmtId="0" fontId="44" fillId="0" borderId="15" xfId="0" applyFont="1" applyBorder="1" applyAlignment="1" applyProtection="1">
      <alignment horizontal="center" vertical="center"/>
      <protection locked="0"/>
    </xf>
    <xf numFmtId="0" fontId="82" fillId="0" borderId="15" xfId="0" applyFont="1" applyBorder="1" applyAlignment="1" applyProtection="1">
      <alignment vertical="center"/>
      <protection locked="0"/>
    </xf>
    <xf numFmtId="0" fontId="82" fillId="0" borderId="21" xfId="0" applyFont="1" applyBorder="1" applyAlignment="1" applyProtection="1">
      <alignment vertical="center"/>
      <protection locked="0"/>
    </xf>
    <xf numFmtId="0" fontId="83" fillId="0" borderId="0" xfId="0" applyFont="1" applyAlignment="1">
      <alignment vertical="center"/>
    </xf>
    <xf numFmtId="16" fontId="40" fillId="18" borderId="9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vertical="center" wrapText="1"/>
    </xf>
    <xf numFmtId="0" fontId="27" fillId="18" borderId="16" xfId="0" applyFont="1" applyFill="1" applyBorder="1" applyAlignment="1">
      <alignment horizontal="center" vertical="center"/>
    </xf>
    <xf numFmtId="0" fontId="27" fillId="17" borderId="22" xfId="0" applyFont="1" applyFill="1" applyBorder="1" applyAlignment="1">
      <alignment horizontal="center" vertical="center" wrapText="1"/>
    </xf>
    <xf numFmtId="0" fontId="84" fillId="8" borderId="22" xfId="0" applyFont="1" applyFill="1" applyBorder="1" applyAlignment="1">
      <alignment horizontal="center" vertical="center" wrapText="1"/>
    </xf>
    <xf numFmtId="16" fontId="27" fillId="18" borderId="23" xfId="0" applyNumberFormat="1" applyFont="1" applyFill="1" applyBorder="1" applyAlignment="1" applyProtection="1">
      <alignment horizontal="center" vertical="center"/>
      <protection locked="0"/>
    </xf>
    <xf numFmtId="0" fontId="27" fillId="17" borderId="19" xfId="0" applyFont="1" applyFill="1" applyBorder="1" applyAlignment="1">
      <alignment horizontal="center" vertical="center" wrapText="1"/>
    </xf>
    <xf numFmtId="0" fontId="84" fillId="8" borderId="19" xfId="0" applyFont="1" applyFill="1" applyBorder="1" applyAlignment="1">
      <alignment horizontal="center" vertical="center" wrapText="1"/>
    </xf>
    <xf numFmtId="16" fontId="27" fillId="18" borderId="16" xfId="0" applyNumberFormat="1" applyFont="1" applyFill="1" applyBorder="1" applyAlignment="1" applyProtection="1">
      <alignment horizontal="center" vertical="center"/>
      <protection locked="0"/>
    </xf>
    <xf numFmtId="0" fontId="18" fillId="17" borderId="9" xfId="0" applyFont="1" applyFill="1" applyBorder="1" applyAlignment="1">
      <alignment horizontal="center" vertical="center" wrapText="1"/>
    </xf>
    <xf numFmtId="2" fontId="85" fillId="2" borderId="9" xfId="0" applyNumberFormat="1" applyFont="1" applyFill="1" applyBorder="1" applyAlignment="1">
      <alignment vertical="center"/>
    </xf>
    <xf numFmtId="2" fontId="86" fillId="2" borderId="9" xfId="0" applyNumberFormat="1" applyFont="1" applyFill="1" applyBorder="1" applyAlignment="1">
      <alignment vertical="center"/>
    </xf>
    <xf numFmtId="2" fontId="86" fillId="2" borderId="21" xfId="0" applyNumberFormat="1" applyFont="1" applyFill="1" applyBorder="1" applyAlignment="1">
      <alignment vertical="center"/>
    </xf>
    <xf numFmtId="0" fontId="38" fillId="17" borderId="15" xfId="0" applyFont="1" applyFill="1" applyBorder="1" applyAlignment="1">
      <alignment horizontal="center" vertical="center"/>
    </xf>
    <xf numFmtId="0" fontId="38" fillId="17" borderId="18" xfId="0" applyFont="1" applyFill="1" applyBorder="1" applyAlignment="1">
      <alignment horizontal="center" vertical="center"/>
    </xf>
    <xf numFmtId="0" fontId="87" fillId="0" borderId="0" xfId="0" applyFont="1" applyAlignment="1">
      <alignment vertical="center"/>
    </xf>
    <xf numFmtId="0" fontId="88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88" fillId="0" borderId="0" xfId="0" applyFont="1" applyAlignment="1">
      <alignment vertical="center" wrapText="1" readingOrder="1"/>
    </xf>
    <xf numFmtId="0" fontId="80" fillId="0" borderId="20" xfId="0" applyFont="1" applyBorder="1" applyAlignment="1">
      <alignment horizontal="center" vertical="center"/>
    </xf>
    <xf numFmtId="0" fontId="20" fillId="0" borderId="11" xfId="0" applyFont="1" applyBorder="1" applyAlignment="1" applyProtection="1">
      <alignment horizontal="center" vertical="center"/>
      <protection locked="0"/>
    </xf>
    <xf numFmtId="1" fontId="81" fillId="0" borderId="21" xfId="0" applyNumberFormat="1" applyFont="1" applyBorder="1" applyAlignment="1">
      <alignment horizontal="center" vertical="center"/>
    </xf>
    <xf numFmtId="0" fontId="79" fillId="0" borderId="11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vertical="center"/>
      <protection locked="0"/>
    </xf>
    <xf numFmtId="1" fontId="22" fillId="0" borderId="11" xfId="0" applyNumberFormat="1" applyFont="1" applyBorder="1" applyAlignment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1" fontId="25" fillId="0" borderId="21" xfId="0" applyNumberFormat="1" applyFont="1" applyBorder="1" applyAlignment="1">
      <alignment horizontal="center" vertical="center"/>
    </xf>
    <xf numFmtId="2" fontId="85" fillId="2" borderId="21" xfId="0" applyNumberFormat="1" applyFont="1" applyFill="1" applyBorder="1" applyAlignment="1">
      <alignment vertical="center"/>
    </xf>
    <xf numFmtId="1" fontId="24" fillId="0" borderId="21" xfId="0" applyNumberFormat="1" applyFont="1" applyBorder="1" applyAlignment="1" applyProtection="1">
      <alignment horizontal="center" vertical="center"/>
      <protection locked="0"/>
    </xf>
    <xf numFmtId="1" fontId="56" fillId="2" borderId="21" xfId="0" applyNumberFormat="1" applyFont="1" applyFill="1" applyBorder="1" applyAlignment="1">
      <alignment vertical="center"/>
    </xf>
    <xf numFmtId="1" fontId="29" fillId="0" borderId="21" xfId="0" applyNumberFormat="1" applyFont="1" applyBorder="1" applyAlignment="1">
      <alignment horizontal="center" vertical="center"/>
    </xf>
    <xf numFmtId="1" fontId="30" fillId="2" borderId="14" xfId="0" applyNumberFormat="1" applyFont="1" applyFill="1" applyBorder="1" applyAlignment="1">
      <alignment horizontal="center" vertical="center"/>
    </xf>
    <xf numFmtId="16" fontId="27" fillId="18" borderId="19" xfId="0" applyNumberFormat="1" applyFont="1" applyFill="1" applyBorder="1" applyAlignment="1" applyProtection="1" quotePrefix="1">
      <alignment horizontal="center" vertical="center"/>
      <protection locked="0"/>
    </xf>
    <xf numFmtId="16" fontId="27" fillId="18" borderId="16" xfId="0" applyNumberFormat="1" applyFont="1" applyFill="1" applyBorder="1" applyAlignment="1" applyProtection="1" quotePrefix="1">
      <alignment horizontal="center" vertical="center"/>
      <protection locked="0"/>
    </xf>
    <xf numFmtId="16" fontId="26" fillId="8" borderId="1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9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16" xfId="0" applyNumberFormat="1" applyFont="1" applyFill="1" applyBorder="1" applyAlignment="1" applyProtection="1" quotePrefix="1">
      <alignment horizontal="center" vertical="center"/>
      <protection locked="0"/>
    </xf>
    <xf numFmtId="16" fontId="17" fillId="3" borderId="9" xfId="0" applyNumberFormat="1" applyFont="1" applyFill="1" applyBorder="1" applyAlignment="1" quotePrefix="1">
      <alignment horizontal="center" vertical="center"/>
    </xf>
    <xf numFmtId="16" fontId="26" fillId="8" borderId="9" xfId="0" applyNumberFormat="1" applyFont="1" applyFill="1" applyBorder="1" applyAlignment="1" quotePrefix="1">
      <alignment horizontal="center" vertical="center" wrapText="1"/>
    </xf>
    <xf numFmtId="16" fontId="28" fillId="8" borderId="11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05">
    <dxf>
      <font>
        <name val="Calibri"/>
        <scheme val="none"/>
        <b val="1"/>
        <i val="0"/>
        <strike val="0"/>
        <u val="none"/>
        <sz val="12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1" tint="0.499984740745262"/>
        </patternFill>
      </fill>
    </dxf>
    <dxf>
      <font>
        <name val="Calibri"/>
        <scheme val="none"/>
        <b val="1"/>
        <i val="0"/>
        <strike val="0"/>
        <u val="none"/>
        <sz val="12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2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8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/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strike val="0"/>
        <u val="none"/>
        <color auto="1"/>
      </font>
    </dxf>
    <dxf>
      <font>
        <name val="Calibri"/>
        <scheme val="none"/>
        <b val="1"/>
        <i val="0"/>
        <strike val="0"/>
        <u val="none"/>
        <sz val="14"/>
        <color rgb="FFFF0000"/>
      </font>
      <numFmt numFmtId="0" formatCode="General"/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indexed="8"/>
      </font>
      <alignment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2"/>
        <color rgb="FF0070C0"/>
      </font>
      <numFmt numFmtId="1" formatCode="0"/>
      <alignment horizontal="center" vertical="center"/>
      <border>
        <left/>
        <right/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2"/>
        <color theme="1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strike val="0"/>
        <u val="none"/>
        <sz val="10"/>
        <color indexed="8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strike val="0"/>
        <u val="none"/>
        <sz val="10"/>
        <color indexed="8"/>
      </font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0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1"/>
        <i val="0"/>
        <strike val="0"/>
        <u val="none"/>
        <sz val="13"/>
        <color rgb="FF0070C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0"/>
        <i val="0"/>
        <strike val="0"/>
        <u val="none"/>
        <sz val="11"/>
        <color theme="0" tint="-0.149998474074526"/>
      </font>
      <numFmt numFmtId="2" formatCode="0.0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0"/>
        <color indexed="8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Arial"/>
        <scheme val="none"/>
        <b val="0"/>
        <i val="0"/>
        <strike val="0"/>
        <u val="none"/>
        <sz val="11"/>
        <color theme="1"/>
      </font>
      <numFmt numFmtId="1" formatCode="0"/>
      <fill>
        <patternFill patternType="solid">
          <bgColor theme="0" tint="-0.149998474074526"/>
        </patternFill>
      </fill>
      <alignment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4"/>
        <color rgb="FFFF0000"/>
      </font>
      <numFmt numFmtId="1" formatCode="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b val="1"/>
        <i val="0"/>
        <strike val="0"/>
        <u val="none"/>
        <sz val="14"/>
        <color theme="1"/>
      </font>
      <numFmt numFmtId="1" formatCode="0"/>
      <fill>
        <patternFill patternType="solid"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</dxf>
    <dxf>
      <alignment horizontal="center" vertical="center"/>
    </dxf>
  </dxfs>
  <tableStyles count="0" defaultTableStyle="TableStyleMedium9" defaultPivotStyle="PivotStyleLight16"/>
  <colors>
    <mruColors>
      <color rgb="00EF1984"/>
      <color rgb="00DE10C1"/>
      <color rgb="00F183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wdp"/><Relationship Id="rId3" Type="http://schemas.openxmlformats.org/officeDocument/2006/relationships/image" Target="../media/image3.png"/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2556808</xdr:colOff>
      <xdr:row>0</xdr:row>
      <xdr:rowOff>82979</xdr:rowOff>
    </xdr:from>
    <xdr:to>
      <xdr:col>2</xdr:col>
      <xdr:colOff>367393</xdr:colOff>
      <xdr:row>0</xdr:row>
      <xdr:rowOff>775606</xdr:rowOff>
    </xdr:to>
    <xdr:pic>
      <xdr:nvPicPr>
        <xdr:cNvPr id="6" name="Immagine 5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4675" y="82550"/>
          <a:ext cx="367030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843644</xdr:colOff>
      <xdr:row>0</xdr:row>
      <xdr:rowOff>0</xdr:rowOff>
    </xdr:from>
    <xdr:to>
      <xdr:col>21</xdr:col>
      <xdr:colOff>476252</xdr:colOff>
      <xdr:row>0</xdr:row>
      <xdr:rowOff>898071</xdr:rowOff>
    </xdr:to>
    <xdr:pic>
      <xdr:nvPicPr>
        <xdr:cNvPr id="4" name="Immagine 3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50455" y="0"/>
          <a:ext cx="899795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2774523</xdr:colOff>
      <xdr:row>0</xdr:row>
      <xdr:rowOff>96587</xdr:rowOff>
    </xdr:from>
    <xdr:to>
      <xdr:col>2</xdr:col>
      <xdr:colOff>572203</xdr:colOff>
      <xdr:row>0</xdr:row>
      <xdr:rowOff>789214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60115" y="96520"/>
          <a:ext cx="636270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136072</xdr:colOff>
      <xdr:row>0</xdr:row>
      <xdr:rowOff>13607</xdr:rowOff>
    </xdr:from>
    <xdr:to>
      <xdr:col>21</xdr:col>
      <xdr:colOff>1047751</xdr:colOff>
      <xdr:row>0</xdr:row>
      <xdr:rowOff>911678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3590" y="13335"/>
          <a:ext cx="911860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2592027</xdr:colOff>
      <xdr:row>0</xdr:row>
      <xdr:rowOff>130205</xdr:rowOff>
    </xdr:from>
    <xdr:to>
      <xdr:col>2</xdr:col>
      <xdr:colOff>446137</xdr:colOff>
      <xdr:row>0</xdr:row>
      <xdr:rowOff>822832</xdr:rowOff>
    </xdr:to>
    <xdr:pic>
      <xdr:nvPicPr>
        <xdr:cNvPr id="10" name="Immagine 9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77235" y="130175"/>
          <a:ext cx="692785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782011</xdr:colOff>
      <xdr:row>0</xdr:row>
      <xdr:rowOff>0</xdr:rowOff>
    </xdr:from>
    <xdr:to>
      <xdr:col>21</xdr:col>
      <xdr:colOff>413018</xdr:colOff>
      <xdr:row>0</xdr:row>
      <xdr:rowOff>900793</xdr:rowOff>
    </xdr:to>
    <xdr:pic>
      <xdr:nvPicPr>
        <xdr:cNvPr id="11" name="Immagine 10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4960" y="0"/>
          <a:ext cx="935990" cy="9004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743918</xdr:colOff>
      <xdr:row>0</xdr:row>
      <xdr:rowOff>96587</xdr:rowOff>
    </xdr:from>
    <xdr:to>
      <xdr:col>3</xdr:col>
      <xdr:colOff>172885</xdr:colOff>
      <xdr:row>0</xdr:row>
      <xdr:rowOff>789214</xdr:rowOff>
    </xdr:to>
    <xdr:pic>
      <xdr:nvPicPr>
        <xdr:cNvPr id="2" name="Immagine 1" descr="FIG_unico_piccolo_e_grande_08"/>
        <xdr:cNvPicPr>
          <a:picLocks noChangeAspect="1" noChangeArrowheads="1"/>
        </xdr:cNvPicPr>
      </xdr:nvPicPr>
      <xdr:blipFill>
        <a:blip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9174" l="10000" r="90000">
                      <a14:foregroundMark x1="16667" y1="17355" x2="82222" y2="17355"/>
                      <a14:foregroundMark x1="82222" y1="17355" x2="66667" y2="80992"/>
                      <a14:foregroundMark x1="66667" y1="80992" x2="22222" y2="36364"/>
                      <a14:foregroundMark x1="22222" y1="36364" x2="20000" y2="29752"/>
                      <a14:foregroundMark x1="43333" y1="94215" x2="48889" y2="99174"/>
                      <a14:foregroundMark x1="48889" y1="99174" x2="53333" y2="94215"/>
                      <a14:foregroundMark x1="53333" y1="94215" x2="54444" y2="94215"/>
                      <a14:foregroundMark x1="50000" y1="99174" x2="48889" y2="950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67835" y="96520"/>
          <a:ext cx="686435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572548</xdr:colOff>
      <xdr:row>0</xdr:row>
      <xdr:rowOff>0</xdr:rowOff>
    </xdr:from>
    <xdr:to>
      <xdr:col>21</xdr:col>
      <xdr:colOff>227135</xdr:colOff>
      <xdr:row>0</xdr:row>
      <xdr:rowOff>900793</xdr:rowOff>
    </xdr:to>
    <xdr:pic>
      <xdr:nvPicPr>
        <xdr:cNvPr id="3" name="Immagine 2"/>
        <xdr:cNvPicPr/>
      </xdr:nvPicPr>
      <xdr:blipFill>
        <a:blip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8273" b="91727" l="9025" r="92058">
                      <a14:foregroundMark x1="33574" y1="14748" x2="24188" y2="19065"/>
                      <a14:foregroundMark x1="24188" y1="19065" x2="18412" y2="26259"/>
                      <a14:foregroundMark x1="18412" y1="26259" x2="12274" y2="42086"/>
                      <a14:foregroundMark x1="12274" y1="42086" x2="11913" y2="60791"/>
                      <a14:foregroundMark x1="11913" y1="60791" x2="16968" y2="70863"/>
                      <a14:foregroundMark x1="16968" y1="70863" x2="22744" y2="77338"/>
                      <a14:foregroundMark x1="22744" y1="77338" x2="36101" y2="85252"/>
                      <a14:foregroundMark x1="36101" y1="85252" x2="50542" y2="85971"/>
                      <a14:foregroundMark x1="50542" y1="85971" x2="64621" y2="82014"/>
                      <a14:foregroundMark x1="64621" y1="82014" x2="76895" y2="75540"/>
                      <a14:foregroundMark x1="76895" y1="75540" x2="81949" y2="69784"/>
                      <a14:foregroundMark x1="81949" y1="69784" x2="87365" y2="51799"/>
                      <a14:foregroundMark x1="87365" y1="51799" x2="85560" y2="38849"/>
                      <a14:foregroundMark x1="85560" y1="38849" x2="74729" y2="26259"/>
                      <a14:foregroundMark x1="74729" y1="26259" x2="50542" y2="12230"/>
                      <a14:foregroundMark x1="50542" y1="12230" x2="45848" y2="15468"/>
                      <a14:foregroundMark x1="45848" y1="15468" x2="38989" y2="15827"/>
                      <a14:foregroundMark x1="38989" y1="15827" x2="33935" y2="17986"/>
                      <a14:foregroundMark x1="33935" y1="17986" x2="21661" y2="75540"/>
                      <a14:foregroundMark x1="21661" y1="75540" x2="30325" y2="34892"/>
                      <a14:foregroundMark x1="30325" y1="34892" x2="31408" y2="44604"/>
                      <a14:foregroundMark x1="31408" y1="44604" x2="41877" y2="28777"/>
                      <a14:foregroundMark x1="41877" y1="28777" x2="38267" y2="70144"/>
                      <a14:foregroundMark x1="38267" y1="70144" x2="53430" y2="29137"/>
                      <a14:foregroundMark x1="53430" y1="29137" x2="50181" y2="61151"/>
                      <a14:foregroundMark x1="50181" y1="61151" x2="56679" y2="44964"/>
                      <a14:foregroundMark x1="56679" y1="44964" x2="57762" y2="60072"/>
                      <a14:foregroundMark x1="57762" y1="60072" x2="64260" y2="57914"/>
                      <a14:foregroundMark x1="64260" y1="57914" x2="67870" y2="62950"/>
                      <a14:foregroundMark x1="67870" y1="62950" x2="67870" y2="65468"/>
                      <a14:foregroundMark x1="49458" y1="60072" x2="53069" y2="65827"/>
                      <a14:foregroundMark x1="53069" y1="65827" x2="67148" y2="68705"/>
                      <a14:foregroundMark x1="67148" y1="68705" x2="80144" y2="55755"/>
                      <a14:foregroundMark x1="80144" y1="55755" x2="81949" y2="47122"/>
                      <a14:foregroundMark x1="81949" y1="47122" x2="72202" y2="39928"/>
                      <a14:foregroundMark x1="72202" y1="39928" x2="57040" y2="38129"/>
                      <a14:foregroundMark x1="57040" y1="38129" x2="50542" y2="44604"/>
                      <a14:foregroundMark x1="50542" y1="44604" x2="49458" y2="58633"/>
                      <a14:foregroundMark x1="49458" y1="58633" x2="53430" y2="75540"/>
                      <a14:foregroundMark x1="53430" y1="75540" x2="60289" y2="77338"/>
                      <a14:foregroundMark x1="60289" y1="77338" x2="68231" y2="66906"/>
                      <a14:foregroundMark x1="68231" y1="66906" x2="68231" y2="66906"/>
                      <a14:foregroundMark x1="61372" y1="59712" x2="64982" y2="52518"/>
                      <a14:foregroundMark x1="64982" y1="52518" x2="59928" y2="47122"/>
                      <a14:foregroundMark x1="59928" y1="47122" x2="52347" y2="54676"/>
                      <a14:foregroundMark x1="52347" y1="54676" x2="48014" y2="74101"/>
                      <a14:foregroundMark x1="48014" y1="74101" x2="50181" y2="92086"/>
                      <a14:foregroundMark x1="50181" y1="92086" x2="56679" y2="90647"/>
                      <a14:foregroundMark x1="56679" y1="90647" x2="62816" y2="74101"/>
                      <a14:foregroundMark x1="62816" y1="74101" x2="64260" y2="62230"/>
                      <a14:foregroundMark x1="64260" y1="62230" x2="63177" y2="55036"/>
                      <a14:foregroundMark x1="63177" y1="55036" x2="57040" y2="51079"/>
                      <a14:foregroundMark x1="57040" y1="51079" x2="49458" y2="57554"/>
                      <a14:foregroundMark x1="49458" y1="57554" x2="45126" y2="71942"/>
                      <a14:foregroundMark x1="45126" y1="71942" x2="47292" y2="85252"/>
                      <a14:foregroundMark x1="47292" y1="85252" x2="56318" y2="92086"/>
                      <a14:foregroundMark x1="56318" y1="92086" x2="85921" y2="55036"/>
                      <a14:foregroundMark x1="85921" y1="55036" x2="76895" y2="48561"/>
                      <a14:foregroundMark x1="76895" y1="48561" x2="74007" y2="48201"/>
                      <a14:foregroundMark x1="77617" y1="46403" x2="72924" y2="42446"/>
                      <a14:foregroundMark x1="72924" y1="42446" x2="66787" y2="46403"/>
                      <a14:foregroundMark x1="66787" y1="46403" x2="64982" y2="57554"/>
                      <a14:foregroundMark x1="64982" y1="57554" x2="67870" y2="69784"/>
                      <a14:foregroundMark x1="67870" y1="69784" x2="71841" y2="74820"/>
                      <a14:foregroundMark x1="71841" y1="74820" x2="77978" y2="69065"/>
                      <a14:foregroundMark x1="77978" y1="69065" x2="83032" y2="55036"/>
                      <a14:foregroundMark x1="83032" y1="55036" x2="83755" y2="44964"/>
                      <a14:foregroundMark x1="83755" y1="44964" x2="81588" y2="38849"/>
                      <a14:foregroundMark x1="81588" y1="38849" x2="77978" y2="34173"/>
                      <a14:foregroundMark x1="77978" y1="34173" x2="78700" y2="28417"/>
                      <a14:foregroundMark x1="78700" y1="28417" x2="74729" y2="21223"/>
                      <a14:foregroundMark x1="74729" y1="21223" x2="72563" y2="19065"/>
                      <a14:foregroundMark x1="70397" y1="16187" x2="64621" y2="13669"/>
                      <a14:foregroundMark x1="63538" y1="12950" x2="62455" y2="12590"/>
                      <a14:foregroundMark x1="61733" y1="12230" x2="61733" y2="12230"/>
                      <a14:foregroundMark x1="61372" y1="12230" x2="57401" y2="11871"/>
                      <a14:foregroundMark x1="55957" y1="11151" x2="53069" y2="10432"/>
                      <a14:foregroundMark x1="50181" y1="9353" x2="47292" y2="8633"/>
                      <a14:foregroundMark x1="46570" y1="8633" x2="44765" y2="9712"/>
                      <a14:foregroundMark x1="42599" y1="10432" x2="39711" y2="11511"/>
                      <a14:foregroundMark x1="32852" y1="16906" x2="32852" y2="16547"/>
                      <a14:foregroundMark x1="37906" y1="12950" x2="37906" y2="12950"/>
                      <a14:foregroundMark x1="37184" y1="12950" x2="34296" y2="14029"/>
                      <a14:foregroundMark x1="63538" y1="85612" x2="69314" y2="84173"/>
                      <a14:foregroundMark x1="69314" y1="84173" x2="85560" y2="63309"/>
                      <a14:foregroundMark x1="85560" y1="63309" x2="92058" y2="38849"/>
                      <a14:foregroundMark x1="92058" y1="38849" x2="92058" y2="38849"/>
                      <a14:foregroundMark x1="89892" y1="49281" x2="79422" y2="78417"/>
                      <a14:foregroundMark x1="79422" y1="78417" x2="74368" y2="82734"/>
                      <a14:foregroundMark x1="74368" y1="82734" x2="86282" y2="66906"/>
                      <a14:foregroundMark x1="86282" y1="66906" x2="88448" y2="61511"/>
                      <a14:foregroundMark x1="88448" y1="61511" x2="88809" y2="61151"/>
                      <a14:foregroundMark x1="58484" y1="24460" x2="53430" y2="21223"/>
                      <a14:foregroundMark x1="53430" y1="21223" x2="51986" y2="21223"/>
                      <a14:foregroundMark x1="67148" y1="45683" x2="66787" y2="52518"/>
                      <a14:foregroundMark x1="66787" y1="52518" x2="71841" y2="45324"/>
                      <a14:foregroundMark x1="71841" y1="45324" x2="70397" y2="57554"/>
                      <a14:foregroundMark x1="70397" y1="57554" x2="68592" y2="50719"/>
                      <a14:foregroundMark x1="68592" y1="50719" x2="68592" y2="52878"/>
                      <a14:foregroundMark x1="85921" y1="36691" x2="84838" y2="30576"/>
                      <a14:foregroundMark x1="84838" y1="30576" x2="83755" y2="287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69835" y="0"/>
          <a:ext cx="921385" cy="9004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MASCHI" displayName="MASCHI" ref="A8:Y15" totalsRowShown="0">
  <autoFilter xmlns:etc="http://www.wps.cn/officeDocument/2017/etCustomData" ref="A8:Y15" etc:filterBottomFollowUsedRange="0"/>
  <sortState ref="A8:Y15">
    <sortCondition ref="X8:X15" descending="1"/>
  </sortState>
  <tableColumns count="25">
    <tableColumn id="2" name="Elenco" dataDxfId="0">
      <calculatedColumnFormula>IF(A8="Elenco",1,IF(B9="","",A8+1))</calculatedColumnFormula>
    </tableColumn>
    <tableColumn id="3" name="Nome Giocatore" dataDxfId="1"/>
    <tableColumn id="4" name="Anno di nascita" dataDxfId="2"/>
    <tableColumn id="5" name="Qualifica" dataDxfId="3"/>
    <tableColumn id="6" name="N° Gare" dataDxfId="4">
      <calculatedColumnFormula>IF(COUNTA(G9:S9)+COUNTA(V9:V9)=0,"",COUNTA(G9:S9)+COUNTA(V9:V9))</calculatedColumnFormula>
    </tableColumn>
    <tableColumn id="7" name="Circolo" dataDxfId="5"/>
    <tableColumn id="8" name="24-mar" dataDxfId="6"/>
    <tableColumn id="9" name="14-apr" dataDxfId="7"/>
    <tableColumn id="10" name="12-mag" dataDxfId="8"/>
    <tableColumn id="11" name="12-giu" dataDxfId="9"/>
    <tableColumn id="12" name="16-giu" dataDxfId="10"/>
    <tableColumn id="13" name="25-giu" dataDxfId="11"/>
    <tableColumn id="14" name="29-ago" dataDxfId="12"/>
    <tableColumn id="15" name="29-set" dataDxfId="13"/>
    <tableColumn id="16" name="data9" dataDxfId="14"/>
    <tableColumn id="17" name="data10" dataDxfId="15"/>
    <tableColumn id="18" name="data11" dataDxfId="16"/>
    <tableColumn id="19" name="data12" dataDxfId="17"/>
    <tableColumn id="20" name="data13" dataDxfId="18"/>
    <tableColumn id="21" name="TOTALE" dataDxfId="19">
      <calculatedColumnFormula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calculatedColumnFormula>
    </tableColumn>
    <tableColumn id="22" name="Colonna16" dataDxfId="20">
      <calculatedColumnFormula>AVERAGE(MASCHI[[#This Row],[24-mar]:[data13]])</calculatedColumnFormula>
    </tableColumn>
    <tableColumn id="23" name="27-ott" dataDxfId="21"/>
    <tableColumn id="24" name="Colonna18" dataDxfId="22"/>
    <tableColumn id="25" name="Colonna1" dataDxfId="23">
      <calculatedColumnFormula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calculatedColumnFormula>
    </tableColumn>
    <tableColumn id="26" name="Colonna20" dataDxfId="24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MASCHI4" displayName="MASCHI4" ref="A8:Y15" totalsRowShown="0">
  <autoFilter xmlns:etc="http://www.wps.cn/officeDocument/2017/etCustomData" ref="A8:Y15" etc:filterBottomFollowUsedRange="0"/>
  <sortState ref="A8:Y15">
    <sortCondition ref="X8:X15" descending="1"/>
  </sortState>
  <tableColumns count="25">
    <tableColumn id="2" name="Elenco" dataDxfId="26">
      <calculatedColumnFormula>IF(A8="Elenco",1,IF(B9="","",A8+1))</calculatedColumnFormula>
    </tableColumn>
    <tableColumn id="3" name="Nome Giocatore" dataDxfId="27"/>
    <tableColumn id="4" name="Anno di nascita" dataDxfId="28"/>
    <tableColumn id="5" name="Qualifica" dataDxfId="29"/>
    <tableColumn id="6" name="N° Gare" dataDxfId="30">
      <calculatedColumnFormula>IF(COUNTA(G9:S9)+COUNTA(V9:V9)=0,"",COUNTA(G9:S9)+COUNTA(V9:V9))</calculatedColumnFormula>
    </tableColumn>
    <tableColumn id="7" name="Circolo" dataDxfId="31"/>
    <tableColumn id="8" name="24-mar" dataDxfId="32"/>
    <tableColumn id="9" name="14-apr" dataDxfId="33"/>
    <tableColumn id="10" name="12-mag" dataDxfId="34"/>
    <tableColumn id="11" name="12-giu" dataDxfId="35"/>
    <tableColumn id="12" name="16-giu" dataDxfId="36"/>
    <tableColumn id="13" name="25-giu" dataDxfId="37"/>
    <tableColumn id="14" name="29-ago" dataDxfId="38"/>
    <tableColumn id="15" name="29-set" dataDxfId="39"/>
    <tableColumn id="16" name="data9" dataDxfId="40"/>
    <tableColumn id="17" name="data10" dataDxfId="41"/>
    <tableColumn id="18" name="data11" dataDxfId="42"/>
    <tableColumn id="19" name="data12" dataDxfId="43"/>
    <tableColumn id="20" name="data13" dataDxfId="44"/>
    <tableColumn id="21" name="TOTALE" dataDxfId="45">
      <calculatedColumnFormula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calculatedColumnFormula>
    </tableColumn>
    <tableColumn id="22" name="Colonna16" dataDxfId="46">
      <calculatedColumnFormula>AVERAGE(MASCHI4[[#This Row],[24-mar]:[data13]])</calculatedColumnFormula>
    </tableColumn>
    <tableColumn id="23" name="27-ott" dataDxfId="47"/>
    <tableColumn id="24" name="Colonna18" dataDxfId="48"/>
    <tableColumn id="25" name="Colonna1" dataDxfId="49">
      <calculatedColumnFormula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calculatedColumnFormula>
    </tableColumn>
    <tableColumn id="26" name="Colonna20" dataDxfId="50">
      <calculatedColumnFormula>IFERROR(IF(E9=0,"",X9/E9),"")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FEMMINE" displayName="FEMMINE" ref="A8:Y13" totalsRowShown="0">
  <autoFilter xmlns:etc="http://www.wps.cn/officeDocument/2017/etCustomData" ref="A8:Y13" etc:filterBottomFollowUsedRange="0"/>
  <sortState ref="A8:Y13">
    <sortCondition ref="X8:X13" descending="1"/>
  </sortState>
  <tableColumns count="25">
    <tableColumn id="2" name="Elenco" dataDxfId="51">
      <calculatedColumnFormula>IF(A8="Elenco",1,IF(B9="","",A8+1))</calculatedColumnFormula>
    </tableColumn>
    <tableColumn id="3" name="Nome Giocatore" dataDxfId="52"/>
    <tableColumn id="4" name="Anno di nascita" dataDxfId="53"/>
    <tableColumn id="5" name="Qualifica" dataDxfId="54"/>
    <tableColumn id="6" name="N° Gare" dataDxfId="55">
      <calculatedColumnFormula>IF(COUNTA(G9:S9)+COUNTA(V9:V9)=0,"",COUNTA(G9:S9)+COUNTA(V9:V9))</calculatedColumnFormula>
    </tableColumn>
    <tableColumn id="7" name="Circolo" dataDxfId="56"/>
    <tableColumn id="8" name="24-mar" dataDxfId="57"/>
    <tableColumn id="9" name="14-apr" dataDxfId="58"/>
    <tableColumn id="10" name="12-mag" dataDxfId="59"/>
    <tableColumn id="11" name="12-giu" dataDxfId="60"/>
    <tableColumn id="12" name="16-giu" dataDxfId="61"/>
    <tableColumn id="13" name="25-giu" dataDxfId="62"/>
    <tableColumn id="14" name="29-ago" dataDxfId="63"/>
    <tableColumn id="15" name="29-set" dataDxfId="64"/>
    <tableColumn id="16" name="data9" dataDxfId="65"/>
    <tableColumn id="17" name="data10" dataDxfId="66"/>
    <tableColumn id="18" name="data11" dataDxfId="67"/>
    <tableColumn id="19" name="data12" dataDxfId="68"/>
    <tableColumn id="20" name="data13" dataDxfId="69"/>
    <tableColumn id="21" name="TOTALE" dataDxfId="70">
      <calculatedColumnFormula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calculatedColumnFormula>
    </tableColumn>
    <tableColumn id="22" name="Colonna16" dataDxfId="71">
      <calculatedColumnFormula>AVERAGE(FEMMINE[[#This Row],[24-mar]:[data13]])</calculatedColumnFormula>
    </tableColumn>
    <tableColumn id="23" name="27-ott" dataDxfId="72"/>
    <tableColumn id="24" name="Colonna18" dataDxfId="73"/>
    <tableColumn id="25" name="Colonna1" dataDxfId="74">
      <calculatedColumnFormula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calculatedColumnFormula>
    </tableColumn>
    <tableColumn id="26" name="Colonna20" dataDxfId="75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F2:G44" totalsRowShown="0">
  <autoFilter xmlns:etc="http://www.wps.cn/officeDocument/2017/etCustomData" ref="F2:G44" etc:filterBottomFollowUsedRange="0"/>
  <tableColumns count="2">
    <tableColumn id="1" name="1" dataDxfId="76"/>
    <tableColumn id="2" name="100" dataDxfId="7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FEMMINE7" displayName="FEMMINE7" ref="A8:Y10" totalsRowShown="0">
  <autoFilter xmlns:etc="http://www.wps.cn/officeDocument/2017/etCustomData" ref="A8:Y10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2" name="Elenco" dataDxfId="78">
      <calculatedColumnFormula>IF(A8="Elenco",1,IF(B9="","",A8+1))</calculatedColumnFormula>
    </tableColumn>
    <tableColumn id="3" name="Nome Giocatore" dataDxfId="79"/>
    <tableColumn id="4" name="Anno di nascita" dataDxfId="80"/>
    <tableColumn id="5" name="Qualifica" dataDxfId="81"/>
    <tableColumn id="6" name="N° Gare" dataDxfId="82"/>
    <tableColumn id="7" name="Circolo" dataDxfId="83"/>
    <tableColumn id="8" name="24-mar" dataDxfId="84"/>
    <tableColumn id="9" name="14-apr" dataDxfId="85"/>
    <tableColumn id="10" name="12-mag" dataDxfId="86"/>
    <tableColumn id="11" name="12-giu" dataDxfId="87"/>
    <tableColumn id="12" name="16-giu" dataDxfId="88"/>
    <tableColumn id="13" name="25-giu" dataDxfId="89"/>
    <tableColumn id="14" name="29-ago" dataDxfId="90"/>
    <tableColumn id="15" name="29-set" dataDxfId="91"/>
    <tableColumn id="16" name="data9" dataDxfId="92"/>
    <tableColumn id="17" name="data10" dataDxfId="93"/>
    <tableColumn id="18" name="data11" dataDxfId="94"/>
    <tableColumn id="19" name="data12" dataDxfId="95"/>
    <tableColumn id="20" name="data13" dataDxfId="96"/>
    <tableColumn id="21" name="TOTALE" dataDxfId="97">
      <calculatedColumnFormula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calculatedColumnFormula>
    </tableColumn>
    <tableColumn id="22" name="Colonna16" dataDxfId="98">
      <calculatedColumnFormula>AVERAGE(FEMMINE7[[#This Row],[24-mar]:[data13]])</calculatedColumnFormula>
    </tableColumn>
    <tableColumn id="23" name="27-ott" dataDxfId="99"/>
    <tableColumn id="24" name="Colonna18" dataDxfId="100"/>
    <tableColumn id="25" name="Colonna1" dataDxfId="101">
      <calculatedColumnFormula>IFERROR(IF(FEMMINE7[[#This Row],[TOTALE]]+(IF(FEMMINE7[[#This Row],[27-ott]]="",0,LOOKUP(FEMMINE7[[#This Row],[27-ott]],Tabella4[1],Tabella4[100])))=0,"",(FEMMINE7[[#This Row],[TOTALE]]+(IF(FEMMINE7[[#This Row],[27-ott]]="",0,(LOOKUP(FEMMINE7[[#This Row],[27-ott]],Tabella4[1],Tabella4[100])*1.5))))),"")</calculatedColumnFormula>
    </tableColumn>
    <tableColumn id="26" name="Colonna20" dataDxfId="102">
      <calculatedColumnFormula>IFERROR(IF(E9=0,"",X9/E9),"")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M5:N46" totalsRowShown="0">
  <autoFilter xmlns:etc="http://www.wps.cn/officeDocument/2017/etCustomData" ref="M5:N46" etc:filterBottomFollowUsedRange="0"/>
  <tableColumns count="2">
    <tableColumn id="1" name="Posizione in classifica" dataDxfId="103"/>
    <tableColumn id="2" name="Punti attribuiti" dataDxfId="10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7"/>
  <sheetViews>
    <sheetView zoomScale="60" zoomScaleNormal="60" zoomScaleSheetLayoutView="40" topLeftCell="A2" workbookViewId="0">
      <selection activeCell="R20" sqref="R20"/>
    </sheetView>
  </sheetViews>
  <sheetFormatPr defaultColWidth="9.14285714285714" defaultRowHeight="25.5" customHeight="1"/>
  <cols>
    <col min="1" max="1" width="10.2857142857143" style="79" customWidth="1"/>
    <col min="2" max="2" width="36.4285714285714" style="122" customWidth="1"/>
    <col min="3" max="3" width="18.8571428571429" style="122" customWidth="1"/>
    <col min="4" max="4" width="11.2857142857143" style="122" customWidth="1"/>
    <col min="5" max="5" width="10.1428571428571" style="122" customWidth="1"/>
    <col min="6" max="6" width="30.4285714285714" style="122" customWidth="1"/>
    <col min="7" max="7" width="17.5714285714286" style="79" customWidth="1"/>
    <col min="8" max="8" width="15.7142857142857" style="79" customWidth="1"/>
    <col min="9" max="9" width="13.7142857142857" style="79" customWidth="1"/>
    <col min="10" max="10" width="11.2857142857143" style="79" customWidth="1"/>
    <col min="11" max="11" width="13.5714285714286" style="79" customWidth="1"/>
    <col min="12" max="12" width="13" style="79" customWidth="1"/>
    <col min="13" max="13" width="12.1428571428571" style="79" customWidth="1"/>
    <col min="14" max="14" width="17.2857142857143" style="79" customWidth="1"/>
    <col min="15" max="15" width="11.1428571428571" style="79" customWidth="1"/>
    <col min="16" max="17" width="12" style="79" customWidth="1"/>
    <col min="18" max="18" width="11.7142857142857" style="79" customWidth="1"/>
    <col min="19" max="19" width="11" style="79" customWidth="1"/>
    <col min="20" max="20" width="15" style="79" customWidth="1"/>
    <col min="21" max="21" width="4" style="79" customWidth="1"/>
    <col min="22" max="22" width="16.7142857142857" style="79" customWidth="1"/>
    <col min="23" max="23" width="4" style="79" customWidth="1"/>
    <col min="24" max="24" width="16.7142857142857" style="79" customWidth="1"/>
    <col min="25" max="25" width="15" style="79" customWidth="1"/>
    <col min="26" max="26" width="9.14285714285714" style="79"/>
    <col min="27" max="66" width="9.14285714285714" style="215"/>
    <col min="67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50"/>
    </row>
    <row r="2" ht="11.25" customHeight="1" spans="1:25">
      <c r="A2" s="98"/>
      <c r="B2" s="82"/>
      <c r="C2" s="82"/>
      <c r="D2" s="82"/>
      <c r="E2" s="82"/>
      <c r="F2" s="193"/>
      <c r="G2" s="84">
        <f>IF(COUNTA(MASCHI[24-mar])=0,0,COUNTA(MASCHI[24-mar]))</f>
        <v>3</v>
      </c>
      <c r="H2" s="84">
        <f>IF(COUNTA(MASCHI[14-apr])=0,0,COUNTA(MASCHI[14-apr]))</f>
        <v>3</v>
      </c>
      <c r="I2" s="84">
        <f>IF(COUNTA(MASCHI[12-mag])=0,0,COUNTA(MASCHI[12-mag]))</f>
        <v>4</v>
      </c>
      <c r="J2" s="84">
        <f>IF(COUNTA(MASCHI[12-giu])=0,0,COUNTA(MASCHI[12-giu]))</f>
        <v>4</v>
      </c>
      <c r="K2" s="84">
        <f>IF(COUNTA(MASCHI[16-giu])=0,0,COUNTA(MASCHI[16-giu]))</f>
        <v>3</v>
      </c>
      <c r="L2" s="84">
        <f>IF(COUNTA(MASCHI[25-giu])=0,0,COUNTA(MASCHI[25-giu]))</f>
        <v>4</v>
      </c>
      <c r="M2" s="84">
        <f>IF(COUNTA(MASCHI[29-ago])=0,0,COUNTA(MASCHI[29-ago]))</f>
        <v>4</v>
      </c>
      <c r="N2" s="84">
        <f>IF(COUNTA(MASCHI[29-set])=0,0,COUNTA(MASCHI[29-set]))</f>
        <v>5</v>
      </c>
      <c r="O2" s="84">
        <f>IF(COUNTA(MASCHI[data9])=0,0,COUNTA(MASCHI[data9]))</f>
        <v>0</v>
      </c>
      <c r="P2" s="84">
        <f>IF(COUNTA(MASCHI[data10])=0,0,COUNTA(MASCHI[data10]))</f>
        <v>0</v>
      </c>
      <c r="Q2" s="84">
        <f>IF(COUNTA(MASCHI[data11])=0,0,COUNTA(MASCHI[data11]))</f>
        <v>0</v>
      </c>
      <c r="R2" s="84">
        <f>IF(COUNTA(MASCHI[data12])=0,0,COUNTA(MASCHI[data12]))</f>
        <v>0</v>
      </c>
      <c r="S2" s="84">
        <f>IF(COUNTA(MASCHI[data13])=0,0,COUNTA(MASCHI[data13]))</f>
        <v>0</v>
      </c>
      <c r="T2" s="84" t="s">
        <v>1</v>
      </c>
      <c r="U2" s="84"/>
      <c r="V2" s="84">
        <f>IF(COUNTA(MASCHI[data13])=0,0,COUNTA(MASCHI[data13]))</f>
        <v>0</v>
      </c>
      <c r="W2" s="83"/>
      <c r="X2" s="83"/>
      <c r="Y2" s="83"/>
    </row>
    <row r="3" ht="11.2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 t="shared" ref="H3:S3" si="0">IF(H2=0,0,1)</f>
        <v>1</v>
      </c>
      <c r="I3" s="84">
        <f t="shared" si="0"/>
        <v>1</v>
      </c>
      <c r="J3" s="84">
        <f t="shared" si="0"/>
        <v>1</v>
      </c>
      <c r="K3" s="84">
        <f t="shared" si="0"/>
        <v>1</v>
      </c>
      <c r="L3" s="84">
        <f t="shared" si="0"/>
        <v>1</v>
      </c>
      <c r="M3" s="84">
        <f t="shared" si="0"/>
        <v>1</v>
      </c>
      <c r="N3" s="84">
        <f t="shared" si="0"/>
        <v>1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8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216" t="s">
        <v>2</v>
      </c>
      <c r="B4" s="217"/>
      <c r="C4" s="217"/>
      <c r="D4" s="217"/>
      <c r="E4" s="218"/>
      <c r="F4" s="219"/>
      <c r="G4" s="220" t="s">
        <v>3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55"/>
    </row>
    <row r="5" customHeight="1" spans="1:25">
      <c r="A5" s="222"/>
      <c r="B5" s="223"/>
      <c r="C5" s="223"/>
      <c r="D5" s="223"/>
      <c r="E5" s="224"/>
      <c r="F5" s="225"/>
      <c r="G5" s="226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56"/>
    </row>
    <row r="6" customHeight="1" spans="1:25">
      <c r="A6" s="98"/>
      <c r="B6" s="194"/>
      <c r="C6" s="194"/>
      <c r="D6" s="194"/>
      <c r="E6" s="194"/>
      <c r="F6" s="194"/>
      <c r="G6" s="228" t="s">
        <v>4</v>
      </c>
      <c r="H6" s="228" t="s">
        <v>5</v>
      </c>
      <c r="I6" s="228" t="s">
        <v>6</v>
      </c>
      <c r="J6" s="228" t="s">
        <v>7</v>
      </c>
      <c r="K6" s="228" t="s">
        <v>8</v>
      </c>
      <c r="L6" s="228" t="s">
        <v>9</v>
      </c>
      <c r="M6" s="228" t="s">
        <v>10</v>
      </c>
      <c r="N6" s="228" t="s">
        <v>11</v>
      </c>
      <c r="O6" s="228" t="s">
        <v>12</v>
      </c>
      <c r="P6" s="228" t="s">
        <v>13</v>
      </c>
      <c r="Q6" s="228" t="s">
        <v>14</v>
      </c>
      <c r="R6" s="228" t="s">
        <v>15</v>
      </c>
      <c r="S6" s="244" t="s">
        <v>16</v>
      </c>
      <c r="T6" s="245"/>
      <c r="U6" s="128"/>
      <c r="V6" s="246" t="s">
        <v>17</v>
      </c>
      <c r="W6" s="128"/>
      <c r="X6" s="130" t="s">
        <v>18</v>
      </c>
      <c r="Y6" s="153" t="s">
        <v>19</v>
      </c>
    </row>
    <row r="7" customHeight="1" spans="1:31">
      <c r="A7" s="98"/>
      <c r="B7" s="194"/>
      <c r="C7" s="194"/>
      <c r="D7" s="194"/>
      <c r="E7" s="194"/>
      <c r="F7" s="194"/>
      <c r="G7" s="229" t="s">
        <v>20</v>
      </c>
      <c r="H7" s="229" t="s">
        <v>21</v>
      </c>
      <c r="I7" s="229" t="s">
        <v>22</v>
      </c>
      <c r="J7" s="229" t="s">
        <v>23</v>
      </c>
      <c r="K7" s="242" t="s">
        <v>24</v>
      </c>
      <c r="L7" s="229" t="s">
        <v>25</v>
      </c>
      <c r="M7" s="229" t="s">
        <v>23</v>
      </c>
      <c r="N7" s="229" t="s">
        <v>20</v>
      </c>
      <c r="O7" s="229" t="s">
        <v>26</v>
      </c>
      <c r="P7" s="229" t="s">
        <v>26</v>
      </c>
      <c r="Q7" s="229" t="s">
        <v>26</v>
      </c>
      <c r="R7" s="229" t="s">
        <v>26</v>
      </c>
      <c r="S7" s="247" t="s">
        <v>26</v>
      </c>
      <c r="T7" s="248"/>
      <c r="U7" s="133"/>
      <c r="V7" s="249"/>
      <c r="W7" s="133"/>
      <c r="X7" s="130"/>
      <c r="Y7" s="153"/>
      <c r="Z7" s="154"/>
      <c r="AA7" s="161"/>
      <c r="AB7" s="161"/>
      <c r="AC7" s="161"/>
      <c r="AD7" s="161"/>
      <c r="AE7" s="161"/>
    </row>
    <row r="8" s="78" customFormat="1" customHeight="1" spans="1:66">
      <c r="A8" s="102" t="s">
        <v>27</v>
      </c>
      <c r="B8" s="103" t="s">
        <v>28</v>
      </c>
      <c r="C8" s="104" t="s">
        <v>29</v>
      </c>
      <c r="D8" s="104" t="s">
        <v>30</v>
      </c>
      <c r="E8" s="103" t="s">
        <v>31</v>
      </c>
      <c r="F8" s="104" t="s">
        <v>26</v>
      </c>
      <c r="G8" s="278" t="s">
        <v>32</v>
      </c>
      <c r="H8" s="278" t="s">
        <v>33</v>
      </c>
      <c r="I8" s="278" t="s">
        <v>34</v>
      </c>
      <c r="J8" s="278" t="s">
        <v>35</v>
      </c>
      <c r="K8" s="278" t="s">
        <v>36</v>
      </c>
      <c r="L8" s="278" t="s">
        <v>37</v>
      </c>
      <c r="M8" s="278" t="s">
        <v>38</v>
      </c>
      <c r="N8" s="278" t="s">
        <v>39</v>
      </c>
      <c r="O8" s="278" t="s">
        <v>40</v>
      </c>
      <c r="P8" s="278" t="s">
        <v>41</v>
      </c>
      <c r="Q8" s="278" t="s">
        <v>42</v>
      </c>
      <c r="R8" s="278" t="s">
        <v>43</v>
      </c>
      <c r="S8" s="279" t="s">
        <v>44</v>
      </c>
      <c r="T8" s="251" t="s">
        <v>45</v>
      </c>
      <c r="U8" s="136" t="s">
        <v>46</v>
      </c>
      <c r="V8" s="280" t="s">
        <v>47</v>
      </c>
      <c r="W8" s="138" t="s">
        <v>48</v>
      </c>
      <c r="X8" s="139" t="s">
        <v>49</v>
      </c>
      <c r="Y8" s="155" t="s">
        <v>50</v>
      </c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</row>
    <row r="9" customHeight="1" spans="1:26">
      <c r="A9" s="231">
        <f t="shared" ref="A9:A15" si="2">IF(A8="Elenco",1,IF(B9="","",A8+1))</f>
        <v>1</v>
      </c>
      <c r="B9" s="195" t="s">
        <v>51</v>
      </c>
      <c r="C9" s="109">
        <v>2010</v>
      </c>
      <c r="D9" s="109" t="s">
        <v>52</v>
      </c>
      <c r="E9" s="110">
        <f t="shared" ref="E9:E15" si="3">IF(COUNTA(G9:S9)+COUNTA(V9:V9)=0,"",COUNTA(G9:S9)+COUNTA(V9:V9))</f>
        <v>9</v>
      </c>
      <c r="F9" s="111" t="s">
        <v>24</v>
      </c>
      <c r="G9" s="112">
        <v>2</v>
      </c>
      <c r="H9" s="109">
        <v>1</v>
      </c>
      <c r="I9" s="109">
        <v>1</v>
      </c>
      <c r="J9" s="109">
        <v>1</v>
      </c>
      <c r="K9" s="109">
        <v>3</v>
      </c>
      <c r="L9" s="109">
        <v>1</v>
      </c>
      <c r="M9" s="109">
        <v>1</v>
      </c>
      <c r="N9" s="109">
        <v>4</v>
      </c>
      <c r="O9" s="109"/>
      <c r="P9" s="109"/>
      <c r="Q9" s="109"/>
      <c r="R9" s="109"/>
      <c r="S9" s="109"/>
      <c r="T9" s="140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707</v>
      </c>
      <c r="U9" s="252">
        <f>AVERAGE(MASCHI[[#This Row],[24-mar]:[data13]])</f>
        <v>1.75</v>
      </c>
      <c r="V9" s="142">
        <v>4</v>
      </c>
      <c r="W9" s="143"/>
      <c r="X9" s="144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812</v>
      </c>
      <c r="Y9" s="157">
        <f t="shared" ref="Y9:Y15" si="4">IFERROR(IF(E9=0,"",X9/E9),"")</f>
        <v>90.2222222222222</v>
      </c>
      <c r="Z9" s="156"/>
    </row>
    <row r="10" customHeight="1" spans="1:26">
      <c r="A10" s="231">
        <f t="shared" si="2"/>
        <v>2</v>
      </c>
      <c r="B10" s="195" t="s">
        <v>53</v>
      </c>
      <c r="C10" s="109">
        <v>2011</v>
      </c>
      <c r="D10" s="109" t="s">
        <v>52</v>
      </c>
      <c r="E10" s="110">
        <f t="shared" si="3"/>
        <v>9</v>
      </c>
      <c r="F10" s="111" t="s">
        <v>24</v>
      </c>
      <c r="G10" s="112">
        <v>3</v>
      </c>
      <c r="H10" s="109">
        <v>3</v>
      </c>
      <c r="I10" s="109">
        <v>3</v>
      </c>
      <c r="J10" s="109">
        <v>3</v>
      </c>
      <c r="K10" s="109">
        <v>1</v>
      </c>
      <c r="L10" s="109">
        <v>4</v>
      </c>
      <c r="M10" s="109">
        <v>2</v>
      </c>
      <c r="N10" s="109">
        <v>3</v>
      </c>
      <c r="O10" s="109"/>
      <c r="P10" s="109"/>
      <c r="Q10" s="109"/>
      <c r="R10" s="109"/>
      <c r="S10" s="109"/>
      <c r="T10" s="140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635</v>
      </c>
      <c r="U10" s="252">
        <f>AVERAGE(MASCHI[[#This Row],[24-mar]:[data13]])</f>
        <v>2.75</v>
      </c>
      <c r="V10" s="142">
        <v>1</v>
      </c>
      <c r="W10" s="143"/>
      <c r="X10" s="144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777.5</v>
      </c>
      <c r="Y10" s="157">
        <f t="shared" si="4"/>
        <v>86.3888888888889</v>
      </c>
      <c r="Z10" s="156"/>
    </row>
    <row r="11" customHeight="1" spans="1:26">
      <c r="A11" s="262">
        <f t="shared" si="2"/>
        <v>3</v>
      </c>
      <c r="B11" s="108" t="s">
        <v>54</v>
      </c>
      <c r="C11" s="200">
        <v>2010</v>
      </c>
      <c r="D11" s="109" t="s">
        <v>55</v>
      </c>
      <c r="E11" s="110">
        <f t="shared" si="3"/>
        <v>7</v>
      </c>
      <c r="F11" s="111" t="s">
        <v>25</v>
      </c>
      <c r="G11" s="232">
        <v>6</v>
      </c>
      <c r="H11" s="109"/>
      <c r="I11" s="109">
        <v>2</v>
      </c>
      <c r="J11" s="109">
        <v>2</v>
      </c>
      <c r="K11" s="109">
        <v>1</v>
      </c>
      <c r="L11" s="109">
        <v>3</v>
      </c>
      <c r="M11" s="109"/>
      <c r="N11" s="109">
        <v>1</v>
      </c>
      <c r="O11" s="109"/>
      <c r="P11" s="109"/>
      <c r="Q11" s="109"/>
      <c r="R11" s="109"/>
      <c r="S11" s="109"/>
      <c r="T11" s="140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496</v>
      </c>
      <c r="U11" s="252">
        <f>AVERAGE(MASCHI[[#This Row],[24-mar]:[data13]])</f>
        <v>2.5</v>
      </c>
      <c r="V11" s="142">
        <v>2</v>
      </c>
      <c r="W11" s="143"/>
      <c r="X11" s="144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623.5</v>
      </c>
      <c r="Y11" s="157">
        <f t="shared" si="4"/>
        <v>89.0714285714286</v>
      </c>
      <c r="Z11" s="156"/>
    </row>
    <row r="12" customHeight="1" spans="1:26">
      <c r="A12" s="262">
        <f t="shared" si="2"/>
        <v>4</v>
      </c>
      <c r="B12" s="114" t="s">
        <v>56</v>
      </c>
      <c r="C12" s="233">
        <v>2010</v>
      </c>
      <c r="D12" s="263" t="s">
        <v>55</v>
      </c>
      <c r="E12" s="264">
        <f t="shared" si="3"/>
        <v>3</v>
      </c>
      <c r="F12" s="238" t="s">
        <v>57</v>
      </c>
      <c r="G12" s="239"/>
      <c r="H12" s="240"/>
      <c r="I12" s="240"/>
      <c r="J12" s="233"/>
      <c r="K12" s="233"/>
      <c r="L12" s="233"/>
      <c r="M12" s="233">
        <v>3</v>
      </c>
      <c r="N12" s="233">
        <v>2</v>
      </c>
      <c r="O12" s="233"/>
      <c r="P12" s="233"/>
      <c r="Q12" s="233"/>
      <c r="R12" s="233"/>
      <c r="S12" s="233"/>
      <c r="T12" s="145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162</v>
      </c>
      <c r="U12" s="254">
        <f>AVERAGE(MASCHI[[#This Row],[24-mar]:[data13]])</f>
        <v>2.5</v>
      </c>
      <c r="V12" s="147">
        <v>3</v>
      </c>
      <c r="W12" s="148"/>
      <c r="X12" s="149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277.5</v>
      </c>
      <c r="Y12" s="158">
        <f t="shared" si="4"/>
        <v>92.5</v>
      </c>
      <c r="Z12" s="156"/>
    </row>
    <row r="13" customHeight="1" spans="1:25">
      <c r="A13" s="265">
        <f t="shared" si="2"/>
        <v>5</v>
      </c>
      <c r="B13" s="266" t="s">
        <v>58</v>
      </c>
      <c r="C13" s="263">
        <v>2011</v>
      </c>
      <c r="D13" s="263"/>
      <c r="E13" s="267">
        <f t="shared" si="3"/>
        <v>3</v>
      </c>
      <c r="F13" s="268" t="s">
        <v>23</v>
      </c>
      <c r="G13" s="269"/>
      <c r="H13" s="270"/>
      <c r="I13" s="270"/>
      <c r="J13" s="200">
        <v>5</v>
      </c>
      <c r="K13" s="200"/>
      <c r="L13" s="200"/>
      <c r="M13" s="200">
        <v>4</v>
      </c>
      <c r="N13" s="200">
        <v>6</v>
      </c>
      <c r="O13" s="200"/>
      <c r="P13" s="200"/>
      <c r="Q13" s="200"/>
      <c r="R13" s="200"/>
      <c r="S13" s="200"/>
      <c r="T13" s="27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193</v>
      </c>
      <c r="U13" s="273">
        <f>AVERAGE(MASCHI[[#This Row],[24-mar]:[data13]])</f>
        <v>5</v>
      </c>
      <c r="V13" s="274"/>
      <c r="W13" s="275"/>
      <c r="X13" s="276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193</v>
      </c>
      <c r="Y13" s="277">
        <f t="shared" si="4"/>
        <v>64.3333333333333</v>
      </c>
    </row>
    <row r="14" customHeight="1" spans="1:25">
      <c r="A14" s="265">
        <f t="shared" si="2"/>
        <v>6</v>
      </c>
      <c r="B14" s="266" t="s">
        <v>59</v>
      </c>
      <c r="C14" s="263">
        <v>2010</v>
      </c>
      <c r="D14" s="263"/>
      <c r="E14" s="267">
        <f t="shared" si="3"/>
        <v>2</v>
      </c>
      <c r="F14" s="268" t="s">
        <v>60</v>
      </c>
      <c r="G14" s="271"/>
      <c r="H14" s="200">
        <v>4</v>
      </c>
      <c r="I14" s="200">
        <v>4</v>
      </c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72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140</v>
      </c>
      <c r="U14" s="273">
        <f>AVERAGE(MASCHI[[#This Row],[24-mar]:[data13]])</f>
        <v>4</v>
      </c>
      <c r="V14" s="274"/>
      <c r="W14" s="275"/>
      <c r="X14" s="276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140</v>
      </c>
      <c r="Y14" s="277">
        <f t="shared" si="4"/>
        <v>70</v>
      </c>
    </row>
    <row r="15" customHeight="1" spans="1:25">
      <c r="A15" s="235">
        <f t="shared" si="2"/>
        <v>7</v>
      </c>
      <c r="B15" s="114" t="s">
        <v>61</v>
      </c>
      <c r="C15" s="236">
        <v>2011</v>
      </c>
      <c r="D15" s="236"/>
      <c r="E15" s="237">
        <f t="shared" si="3"/>
        <v>1</v>
      </c>
      <c r="F15" s="238" t="s">
        <v>25</v>
      </c>
      <c r="G15" s="239"/>
      <c r="H15" s="240"/>
      <c r="I15" s="240"/>
      <c r="J15" s="233"/>
      <c r="K15" s="233"/>
      <c r="L15" s="233">
        <v>6</v>
      </c>
      <c r="M15" s="233"/>
      <c r="N15" s="233"/>
      <c r="O15" s="233"/>
      <c r="P15" s="233"/>
      <c r="Q15" s="233"/>
      <c r="R15" s="233"/>
      <c r="S15" s="233"/>
      <c r="T15" s="145">
        <f>IF(IF(MASCHI[[#This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Row],[data13]],Tabella4[1],Tabella4[100]),0)=0,"",IF(MASCHI[[#This Row],[24-mar]]&lt;&gt;0,LOOKUP(MASCHI[[#This Row],[24-mar]],Tabella4[1],Tabella4[100]),0)+IF(MASCHI[[#This Row],[14-apr]]&lt;&gt;0,LOOKUP(MASCHI[[#This Row],[14-apr]],Tabella4[1],Tabella4[100]),0)+IF(MASCHI[[#This Row],[12-mag]]&lt;&gt;0,LOOKUP(MASCHI[[#This Row],[12-mag]],Tabella4[1],Tabella4[100]),0)+IF(MASCHI[[#This Row],[12-giu]]&lt;&gt;0,LOOKUP(MASCHI[[#This Row],[12-giu]],Tabella4[1],Tabella4[100]),0)+IF(MASCHI[[#This Row],[16-giu]]&lt;&gt;0,LOOKUP(MASCHI[[#This Row],[16-giu]],Tabella4[1],Tabella4[100]),0)+IF(MASCHI[[#This Row],[25-giu]]&lt;&gt;0,LOOKUP(MASCHI[[#This Row],[25-giu]],Tabella4[1],Tabella4[100]),0)+IF(MASCHI[[#This Row],[29-ago]]&lt;&gt;0,LOOKUP(MASCHI[[#This Row],[29-ago]],Tabella4[1],Tabella4[100]),0)+IF(MASCHI[[#This Row],[29-set]]&lt;&gt;0,LOOKUP(MASCHI[[#This Row],[29-set]],Tabella4[1],Tabella4[100]),0)+IF(MASCHI[[#This Row],[data9]]&lt;&gt;0,LOOKUP(MASCHI[[#This Row],[data9]],Tabella4[1],Tabella4[100]),0)+IF(MASCHI[[#This Row],[data10]]&lt;&gt;0,LOOKUP(MASCHI[[#This Row],[data10]],Tabella4[1],Tabella4[100]),0)+IF(MASCHI[[#This Row],[data11]]&lt;&gt;0,LOOKUP(MASCHI[[#This Row],[data11]],Tabella4[1],Tabella4[100]),0)+IF(MASCHI[[#This Row],[data12]]&lt;&gt;0,LOOKUP(MASCHI[[#This Row],[data12]],Tabella4[1],Tabella4[100]),0)+IF(MASCHI[[#This Row],[data13]]&lt;&gt;0,LOOKUP(MASCHI[[#This Row],[data13]],Tabella4[1],Tabella4[100]),0))</f>
        <v>59</v>
      </c>
      <c r="U15" s="254">
        <f>AVERAGE(MASCHI[[#This Row],[24-mar]:[data13]])</f>
        <v>6</v>
      </c>
      <c r="V15" s="147"/>
      <c r="W15" s="148"/>
      <c r="X15" s="149">
        <f>IFERROR(IF(MASCHI[[#This Row],[TOTALE]]+(IF(MASCHI[[#This Row],[27-ott]]="",0,LOOKUP(MASCHI[[#This Row],[27-ott]],Tabella4[1],Tabella4[100])))=0,"",(MASCHI[[#This Row],[TOTALE]]+(IF(MASCHI[[#This Row],[27-ott]]="",0,(LOOKUP(MASCHI[[#This Row],[27-ott]],Tabella4[1],Tabella4[100])))*1.5))),"")</f>
        <v>59</v>
      </c>
      <c r="Y15" s="158">
        <f t="shared" si="4"/>
        <v>59</v>
      </c>
    </row>
    <row r="17" customHeight="1" spans="6:6">
      <c r="F17" s="201"/>
    </row>
    <row r="18" customHeight="1" spans="1:6">
      <c r="A18" s="120"/>
      <c r="B18" s="121"/>
      <c r="F18" s="201"/>
    </row>
    <row r="19" customHeight="1" spans="1:2">
      <c r="A19" s="120"/>
      <c r="B19" s="121"/>
    </row>
    <row r="20" customHeight="1" spans="1:2">
      <c r="A20" s="120"/>
      <c r="B20" s="121"/>
    </row>
    <row r="21" customHeight="1" spans="1:16">
      <c r="A21" s="120"/>
      <c r="B21" s="121"/>
      <c r="L21" s="243"/>
      <c r="M21" s="243"/>
      <c r="N21" s="243"/>
      <c r="O21" s="243"/>
      <c r="P21" s="243"/>
    </row>
    <row r="22" customHeight="1" spans="1:16">
      <c r="A22" s="120"/>
      <c r="B22" s="121"/>
      <c r="L22" s="243"/>
      <c r="M22" s="243"/>
      <c r="N22" s="243"/>
      <c r="O22" s="243"/>
      <c r="P22" s="243"/>
    </row>
    <row r="23" customHeight="1" spans="1:2">
      <c r="A23" s="120"/>
      <c r="B23" s="121"/>
    </row>
    <row r="24" customHeight="1" spans="1:2">
      <c r="A24" s="120"/>
      <c r="B24" s="121"/>
    </row>
    <row r="25" customHeight="1" spans="1:2">
      <c r="A25" s="120"/>
      <c r="B25" s="121"/>
    </row>
    <row r="26" customHeight="1" spans="1:2">
      <c r="A26" s="120"/>
      <c r="B26" s="121"/>
    </row>
    <row r="27" customHeight="1" spans="1:11">
      <c r="A27" s="120"/>
      <c r="B27" s="121"/>
      <c r="G27" s="241"/>
      <c r="H27" s="241"/>
      <c r="I27" s="241"/>
      <c r="J27" s="241"/>
      <c r="K27" s="241"/>
    </row>
    <row r="28" customHeight="1" spans="1:11">
      <c r="A28" s="120"/>
      <c r="B28" s="121"/>
      <c r="G28" s="241"/>
      <c r="H28" s="241"/>
      <c r="I28" s="241"/>
      <c r="J28" s="241"/>
      <c r="K28" s="241"/>
    </row>
    <row r="29" customHeight="1" spans="1:2">
      <c r="A29" s="120"/>
      <c r="B29" s="121"/>
    </row>
    <row r="30" customHeight="1" spans="1:2">
      <c r="A30" s="120"/>
      <c r="B30" s="121"/>
    </row>
    <row r="31" customHeight="1" spans="1:2">
      <c r="A31" s="120"/>
      <c r="B31" s="121"/>
    </row>
    <row r="32" customHeight="1" spans="1:2">
      <c r="A32" s="120"/>
      <c r="B32" s="121"/>
    </row>
    <row r="33" customHeight="1" spans="1:2">
      <c r="A33" s="120"/>
      <c r="B33" s="121"/>
    </row>
    <row r="34" customHeight="1" spans="1:2">
      <c r="A34" s="120"/>
      <c r="B34" s="121"/>
    </row>
    <row r="35" customHeight="1" spans="1:2">
      <c r="A35" s="120"/>
      <c r="B35" s="121"/>
    </row>
    <row r="36" customHeight="1" spans="1:2">
      <c r="A36" s="120"/>
      <c r="B36" s="121"/>
    </row>
    <row r="37" customHeight="1" spans="1:2">
      <c r="A37" s="120"/>
      <c r="B37" s="121"/>
    </row>
    <row r="38" customHeight="1" spans="1:2">
      <c r="A38" s="120"/>
      <c r="B38" s="121"/>
    </row>
    <row r="39" customHeight="1" spans="1:2">
      <c r="A39" s="120"/>
      <c r="B39" s="121"/>
    </row>
    <row r="40" customHeight="1" spans="1:2">
      <c r="A40" s="120"/>
      <c r="B40" s="121"/>
    </row>
    <row r="41" customHeight="1" spans="1:2">
      <c r="A41" s="120"/>
      <c r="B41" s="121"/>
    </row>
    <row r="42" customHeight="1" spans="1:6">
      <c r="A42" s="120"/>
      <c r="B42" s="121"/>
      <c r="F42" s="201"/>
    </row>
    <row r="43" customHeight="1" spans="1:6">
      <c r="A43" s="120"/>
      <c r="B43" s="121"/>
      <c r="F43" s="201"/>
    </row>
    <row r="44" customHeight="1" spans="1:6">
      <c r="A44" s="120"/>
      <c r="B44" s="121"/>
      <c r="F44" s="201"/>
    </row>
    <row r="45" customHeight="1" spans="1:6">
      <c r="A45" s="120"/>
      <c r="B45" s="121"/>
      <c r="F45" s="201"/>
    </row>
    <row r="46" customHeight="1" spans="1:6">
      <c r="A46" s="120"/>
      <c r="B46" s="121"/>
      <c r="F46" s="201"/>
    </row>
    <row r="47" customHeight="1" spans="1:6">
      <c r="A47" s="120"/>
      <c r="B47" s="121"/>
      <c r="F47" s="201"/>
    </row>
    <row r="48" customHeight="1" spans="1:6">
      <c r="A48" s="120"/>
      <c r="B48" s="121"/>
      <c r="F48" s="201"/>
    </row>
    <row r="49" customHeight="1" spans="1:6">
      <c r="A49" s="120"/>
      <c r="B49" s="121"/>
      <c r="F49" s="201"/>
    </row>
    <row r="50" customHeight="1" spans="1:6">
      <c r="A50" s="120"/>
      <c r="B50" s="121"/>
      <c r="F50" s="201"/>
    </row>
    <row r="51" customHeight="1" spans="1:6">
      <c r="A51" s="120"/>
      <c r="B51" s="121"/>
      <c r="F51" s="201"/>
    </row>
    <row r="52" customHeight="1" spans="1:6">
      <c r="A52" s="120"/>
      <c r="B52" s="121"/>
      <c r="F52" s="201"/>
    </row>
    <row r="53" customHeight="1" spans="1:6">
      <c r="A53" s="120"/>
      <c r="B53" s="121"/>
      <c r="F53" s="201"/>
    </row>
    <row r="54" customHeight="1" spans="1:6">
      <c r="A54" s="120"/>
      <c r="B54" s="121"/>
      <c r="F54" s="201"/>
    </row>
    <row r="55" customHeight="1" spans="1:6">
      <c r="A55" s="120"/>
      <c r="B55" s="121"/>
      <c r="F55" s="201"/>
    </row>
    <row r="56" customHeight="1" spans="1:6">
      <c r="A56" s="120"/>
      <c r="B56" s="121"/>
      <c r="F56" s="201"/>
    </row>
    <row r="57" customHeight="1" spans="1:6">
      <c r="A57" s="120"/>
      <c r="B57" s="121"/>
      <c r="F57" s="201"/>
    </row>
    <row r="58" customHeight="1" spans="1:6">
      <c r="A58" s="120"/>
      <c r="B58" s="121"/>
      <c r="F58" s="201"/>
    </row>
    <row r="59" customHeight="1" spans="1:6">
      <c r="A59" s="120"/>
      <c r="B59" s="121"/>
      <c r="F59" s="201"/>
    </row>
    <row r="60" customHeight="1" spans="1:6">
      <c r="A60" s="120"/>
      <c r="B60" s="121"/>
      <c r="F60" s="201"/>
    </row>
    <row r="61" customHeight="1" spans="1:6">
      <c r="A61" s="120"/>
      <c r="B61" s="121"/>
      <c r="F61" s="201"/>
    </row>
    <row r="62" customHeight="1" spans="1:6">
      <c r="A62" s="120"/>
      <c r="B62" s="121"/>
      <c r="F62" s="201"/>
    </row>
    <row r="63" customHeight="1" spans="1:6">
      <c r="A63" s="120"/>
      <c r="B63" s="121"/>
      <c r="F63" s="201"/>
    </row>
    <row r="64" customHeight="1" spans="1:6">
      <c r="A64" s="120"/>
      <c r="B64" s="121"/>
      <c r="F64" s="201"/>
    </row>
    <row r="65" customHeight="1" spans="1:6">
      <c r="A65" s="120"/>
      <c r="B65" s="121"/>
      <c r="F65" s="201"/>
    </row>
    <row r="66" customHeight="1" spans="1:6">
      <c r="A66" s="120"/>
      <c r="B66" s="121"/>
      <c r="F66" s="201"/>
    </row>
    <row r="67" customHeight="1" spans="1:6">
      <c r="A67" s="120"/>
      <c r="B67" s="121"/>
      <c r="F67" s="201"/>
    </row>
    <row r="68" customHeight="1" spans="1:6">
      <c r="A68" s="120"/>
      <c r="B68" s="121"/>
      <c r="F68" s="201"/>
    </row>
    <row r="69" customHeight="1" spans="1:6">
      <c r="A69" s="120"/>
      <c r="B69" s="121"/>
      <c r="F69" s="201"/>
    </row>
    <row r="70" customHeight="1" spans="1:6">
      <c r="A70" s="120"/>
      <c r="B70" s="121"/>
      <c r="F70" s="201"/>
    </row>
    <row r="71" customHeight="1" spans="1:6">
      <c r="A71" s="120"/>
      <c r="B71" s="121"/>
      <c r="F71" s="201"/>
    </row>
    <row r="72" customHeight="1" spans="1:6">
      <c r="A72" s="120"/>
      <c r="B72" s="121"/>
      <c r="F72" s="201"/>
    </row>
    <row r="73" customHeight="1" spans="1:6">
      <c r="A73" s="120"/>
      <c r="B73" s="121"/>
      <c r="F73" s="201"/>
    </row>
    <row r="74" customHeight="1" spans="1:6">
      <c r="A74" s="120"/>
      <c r="B74" s="121"/>
      <c r="F74" s="201"/>
    </row>
    <row r="75" customHeight="1" spans="1:6">
      <c r="A75" s="120"/>
      <c r="B75" s="121"/>
      <c r="F75" s="201"/>
    </row>
    <row r="76" customHeight="1" spans="1:6">
      <c r="A76" s="120"/>
      <c r="B76" s="121"/>
      <c r="F76" s="201"/>
    </row>
    <row r="77" customHeight="1" spans="1:6">
      <c r="A77" s="120"/>
      <c r="B77" s="121"/>
      <c r="F77" s="201"/>
    </row>
    <row r="78" customHeight="1" spans="1:6">
      <c r="A78" s="120"/>
      <c r="B78" s="121"/>
      <c r="F78" s="201"/>
    </row>
    <row r="79" customHeight="1" spans="1:6">
      <c r="A79" s="120"/>
      <c r="B79" s="121"/>
      <c r="F79" s="201"/>
    </row>
    <row r="80" customHeight="1" spans="1:6">
      <c r="A80" s="120"/>
      <c r="B80" s="121"/>
      <c r="F80" s="201"/>
    </row>
    <row r="81" customHeight="1" spans="1:6">
      <c r="A81" s="120"/>
      <c r="B81" s="121"/>
      <c r="F81" s="201"/>
    </row>
    <row r="82" customHeight="1" spans="1:6">
      <c r="A82" s="120"/>
      <c r="B82" s="121"/>
      <c r="F82" s="201"/>
    </row>
    <row r="83" customHeight="1" spans="1:6">
      <c r="A83" s="120"/>
      <c r="B83" s="121"/>
      <c r="F83" s="201"/>
    </row>
    <row r="84" customHeight="1" spans="1:6">
      <c r="A84" s="120"/>
      <c r="B84" s="121"/>
      <c r="F84" s="201"/>
    </row>
    <row r="85" customHeight="1" spans="1:22">
      <c r="A85" s="120"/>
      <c r="B85" s="121"/>
      <c r="E85" s="175"/>
      <c r="F85" s="174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</row>
    <row r="86" customHeight="1" spans="1:22">
      <c r="A86" s="120"/>
      <c r="B86" s="121"/>
      <c r="E86" s="175"/>
      <c r="F86" s="174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</row>
    <row r="87" customHeight="1" spans="1:22">
      <c r="A87" s="120"/>
      <c r="E87" s="175"/>
      <c r="F87" s="211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5"/>
      <c r="U87" s="215"/>
      <c r="V87" s="215"/>
    </row>
    <row r="88" customHeight="1" spans="1:22">
      <c r="A88" s="120"/>
      <c r="E88" s="175"/>
      <c r="F88" s="211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215"/>
      <c r="U88" s="215"/>
      <c r="V88" s="160"/>
    </row>
    <row r="89" customHeight="1" spans="1:22">
      <c r="A89" s="120"/>
      <c r="E89" s="175"/>
      <c r="F89" s="211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215"/>
      <c r="U89" s="215"/>
      <c r="V89" s="160"/>
    </row>
    <row r="90" customHeight="1" spans="1:22">
      <c r="A90" s="120"/>
      <c r="E90" s="175"/>
      <c r="F90" s="211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75"/>
      <c r="U90" s="215"/>
      <c r="V90" s="174"/>
    </row>
    <row r="91" customHeight="1" spans="1:22">
      <c r="A91" s="120"/>
      <c r="E91" s="175"/>
      <c r="F91" s="17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174"/>
    </row>
    <row r="92" customHeight="1" spans="1:22">
      <c r="A92" s="120"/>
      <c r="E92" s="175"/>
      <c r="F92" s="17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</row>
    <row r="93" customHeight="1" spans="1:22">
      <c r="A93" s="120"/>
      <c r="B93" s="161"/>
      <c r="E93" s="258"/>
      <c r="F93" s="17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</row>
    <row r="94" customHeight="1" spans="1:22">
      <c r="A94" s="120"/>
      <c r="B94" s="164"/>
      <c r="C94" s="165"/>
      <c r="D94" s="165"/>
      <c r="E94" s="259"/>
      <c r="F94" s="213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</row>
    <row r="95" customHeight="1" spans="1:22">
      <c r="A95" s="120"/>
      <c r="B95" s="214"/>
      <c r="C95" s="169"/>
      <c r="D95" s="169"/>
      <c r="E95" s="260"/>
      <c r="F95" s="171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</row>
    <row r="96" customHeight="1" spans="1:22">
      <c r="A96" s="120"/>
      <c r="E96" s="175"/>
      <c r="F96" s="17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</row>
    <row r="97" customHeight="1" spans="1:22">
      <c r="A97" s="120"/>
      <c r="E97" s="175"/>
      <c r="F97" s="17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</row>
    <row r="98" customHeight="1" spans="1:22">
      <c r="A98" s="120"/>
      <c r="E98" s="175"/>
      <c r="F98" s="17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</row>
    <row r="99" customHeight="1" spans="1:22">
      <c r="A99" s="120"/>
      <c r="E99" s="175"/>
      <c r="F99" s="17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</row>
    <row r="100" customHeight="1" spans="1:22">
      <c r="A100" s="172"/>
      <c r="B100" s="214"/>
      <c r="E100" s="259"/>
      <c r="F100" s="261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</row>
    <row r="101" customHeight="1" spans="1:22">
      <c r="A101" s="172"/>
      <c r="B101" s="214"/>
      <c r="E101" s="259"/>
      <c r="F101" s="261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</row>
    <row r="102" customHeight="1" spans="1:6">
      <c r="A102" s="172"/>
      <c r="B102" s="214"/>
      <c r="E102" s="166"/>
      <c r="F102" s="214"/>
    </row>
    <row r="103" customHeight="1" spans="1:6">
      <c r="A103" s="172"/>
      <c r="B103" s="214"/>
      <c r="E103" s="166"/>
      <c r="F103" s="214"/>
    </row>
    <row r="104" customHeight="1" spans="1:6">
      <c r="A104" s="172"/>
      <c r="B104" s="214"/>
      <c r="E104" s="166"/>
      <c r="F104" s="214"/>
    </row>
    <row r="105" customHeight="1" spans="1:6">
      <c r="A105" s="172"/>
      <c r="B105" s="214"/>
      <c r="E105" s="166"/>
      <c r="F105" s="214"/>
    </row>
    <row r="106" customHeight="1" spans="1:6">
      <c r="A106" s="172"/>
      <c r="B106" s="214"/>
      <c r="E106" s="166"/>
      <c r="F106" s="214"/>
    </row>
    <row r="107" customHeight="1" spans="1:6">
      <c r="A107" s="172"/>
      <c r="B107" s="214"/>
      <c r="E107" s="166"/>
      <c r="F107" s="214"/>
    </row>
    <row r="108" customHeight="1" spans="1:6">
      <c r="A108" s="172"/>
      <c r="B108" s="214"/>
      <c r="E108" s="166"/>
      <c r="F108" s="214"/>
    </row>
    <row r="109" customHeight="1" spans="1:6">
      <c r="A109" s="172"/>
      <c r="B109" s="214"/>
      <c r="E109" s="166"/>
      <c r="F109" s="214"/>
    </row>
    <row r="110" customHeight="1" spans="1:6">
      <c r="A110" s="172"/>
      <c r="B110" s="214"/>
      <c r="E110" s="166"/>
      <c r="F110" s="214"/>
    </row>
    <row r="111" customHeight="1" spans="1:6">
      <c r="A111" s="172"/>
      <c r="B111" s="214"/>
      <c r="E111" s="166"/>
      <c r="F111" s="214"/>
    </row>
    <row r="112" customHeight="1" spans="1:6">
      <c r="A112" s="172"/>
      <c r="B112" s="214"/>
      <c r="E112" s="166"/>
      <c r="F112" s="214"/>
    </row>
    <row r="113" customHeight="1" spans="1:6">
      <c r="A113" s="172"/>
      <c r="B113" s="214"/>
      <c r="E113" s="166"/>
      <c r="F113" s="214"/>
    </row>
    <row r="114" customHeight="1" spans="1:6">
      <c r="A114" s="172"/>
      <c r="B114" s="214"/>
      <c r="E114" s="166"/>
      <c r="F114" s="214"/>
    </row>
    <row r="115" customHeight="1" spans="1:6">
      <c r="A115" s="172"/>
      <c r="B115" s="214"/>
      <c r="E115" s="166"/>
      <c r="F115" s="214"/>
    </row>
    <row r="116" customHeight="1" spans="1:6">
      <c r="A116" s="172"/>
      <c r="B116" s="214"/>
      <c r="E116" s="166"/>
      <c r="F116" s="214"/>
    </row>
    <row r="117" customHeight="1" spans="1:6">
      <c r="A117" s="172"/>
      <c r="B117" s="214"/>
      <c r="E117" s="166"/>
      <c r="F117" s="214"/>
    </row>
    <row r="118" customHeight="1" spans="1:6">
      <c r="A118" s="172"/>
      <c r="B118" s="214"/>
      <c r="E118" s="166"/>
      <c r="F118" s="214"/>
    </row>
    <row r="119" customHeight="1" spans="1:6">
      <c r="A119" s="172"/>
      <c r="B119" s="214"/>
      <c r="E119" s="166"/>
      <c r="F119" s="214"/>
    </row>
    <row r="120" customHeight="1" spans="1:6">
      <c r="A120" s="172"/>
      <c r="B120" s="214"/>
      <c r="E120" s="166"/>
      <c r="F120" s="214"/>
    </row>
    <row r="121" customHeight="1" spans="1:6">
      <c r="A121" s="172"/>
      <c r="B121" s="214"/>
      <c r="E121" s="166"/>
      <c r="F121" s="214"/>
    </row>
    <row r="122" customHeight="1" spans="1:6">
      <c r="A122" s="172"/>
      <c r="B122" s="214"/>
      <c r="E122" s="166"/>
      <c r="F122" s="214"/>
    </row>
    <row r="123" customHeight="1" spans="1:6">
      <c r="A123" s="172"/>
      <c r="B123" s="214"/>
      <c r="E123" s="166"/>
      <c r="F123" s="214"/>
    </row>
    <row r="124" customHeight="1" spans="1:6">
      <c r="A124" s="172"/>
      <c r="B124" s="214"/>
      <c r="E124" s="166"/>
      <c r="F124" s="214"/>
    </row>
    <row r="125" customHeight="1" spans="1:6">
      <c r="A125" s="172"/>
      <c r="B125" s="214"/>
      <c r="E125" s="166"/>
      <c r="F125" s="214"/>
    </row>
    <row r="126" customHeight="1" spans="1:6">
      <c r="A126" s="172"/>
      <c r="B126" s="214"/>
      <c r="E126" s="166"/>
      <c r="F126" s="214"/>
    </row>
    <row r="127" customHeight="1" spans="1:6">
      <c r="A127" s="172"/>
      <c r="B127" s="214"/>
      <c r="E127" s="166"/>
      <c r="F127" s="214"/>
    </row>
    <row r="128" customHeight="1" spans="1:6">
      <c r="A128" s="172"/>
      <c r="B128" s="214"/>
      <c r="E128" s="166"/>
      <c r="F128" s="214"/>
    </row>
    <row r="129" customHeight="1" spans="1:6">
      <c r="A129" s="172"/>
      <c r="B129" s="214"/>
      <c r="E129" s="166"/>
      <c r="F129" s="214"/>
    </row>
    <row r="130" customHeight="1" spans="1:6">
      <c r="A130" s="172"/>
      <c r="B130" s="214"/>
      <c r="E130" s="166"/>
      <c r="F130" s="214"/>
    </row>
    <row r="131" customHeight="1" spans="1:6">
      <c r="A131" s="172"/>
      <c r="B131" s="214"/>
      <c r="E131" s="166"/>
      <c r="F131" s="214"/>
    </row>
    <row r="132" customHeight="1" spans="1:6">
      <c r="A132" s="172"/>
      <c r="B132" s="214"/>
      <c r="E132" s="166"/>
      <c r="F132" s="214"/>
    </row>
    <row r="133" customHeight="1" spans="1:6">
      <c r="A133" s="172"/>
      <c r="B133" s="214"/>
      <c r="E133" s="166"/>
      <c r="F133" s="214"/>
    </row>
    <row r="134" customHeight="1" spans="1:6">
      <c r="A134" s="172"/>
      <c r="B134" s="214"/>
      <c r="E134" s="166"/>
      <c r="F134" s="214"/>
    </row>
    <row r="135" customHeight="1" spans="1:6">
      <c r="A135" s="172"/>
      <c r="B135" s="214"/>
      <c r="E135" s="166"/>
      <c r="F135" s="214"/>
    </row>
    <row r="136" customHeight="1" spans="1:6">
      <c r="A136" s="172"/>
      <c r="B136" s="214"/>
      <c r="E136" s="166"/>
      <c r="F136" s="214"/>
    </row>
    <row r="137" customHeight="1" spans="1:6">
      <c r="A137" s="172"/>
      <c r="B137" s="214"/>
      <c r="E137" s="166"/>
      <c r="F137" s="214"/>
    </row>
    <row r="138" customHeight="1" spans="1:6">
      <c r="A138" s="172"/>
      <c r="B138" s="214"/>
      <c r="E138" s="166"/>
      <c r="F138" s="214"/>
    </row>
    <row r="139" customHeight="1" spans="1:6">
      <c r="A139" s="172"/>
      <c r="B139" s="214"/>
      <c r="E139" s="166"/>
      <c r="F139" s="214"/>
    </row>
    <row r="140" customHeight="1" spans="1:6">
      <c r="A140" s="172"/>
      <c r="B140" s="214"/>
      <c r="E140" s="166"/>
      <c r="F140" s="214"/>
    </row>
    <row r="141" customHeight="1" spans="1:6">
      <c r="A141" s="172"/>
      <c r="B141" s="214"/>
      <c r="E141" s="166"/>
      <c r="F141" s="214"/>
    </row>
    <row r="142" customHeight="1" spans="1:6">
      <c r="A142" s="172"/>
      <c r="B142" s="214"/>
      <c r="E142" s="166"/>
      <c r="F142" s="214"/>
    </row>
    <row r="143" customHeight="1" spans="1:6">
      <c r="A143" s="172"/>
      <c r="B143" s="214"/>
      <c r="E143" s="166"/>
      <c r="F143" s="214"/>
    </row>
    <row r="144" customHeight="1" spans="1:6">
      <c r="A144" s="172"/>
      <c r="B144" s="214"/>
      <c r="E144" s="166"/>
      <c r="F144" s="214"/>
    </row>
    <row r="145" customHeight="1" spans="1:6">
      <c r="A145" s="172"/>
      <c r="B145" s="214"/>
      <c r="E145" s="166"/>
      <c r="F145" s="214"/>
    </row>
    <row r="146" customHeight="1" spans="1:6">
      <c r="A146" s="172"/>
      <c r="B146" s="214"/>
      <c r="E146" s="166"/>
      <c r="F146" s="214"/>
    </row>
    <row r="147" customHeight="1" spans="1:6">
      <c r="A147" s="172"/>
      <c r="B147" s="214"/>
      <c r="E147" s="166"/>
      <c r="F147" s="214"/>
    </row>
    <row r="148" customHeight="1" spans="1:6">
      <c r="A148" s="172"/>
      <c r="B148" s="214"/>
      <c r="E148" s="166"/>
      <c r="F148" s="214"/>
    </row>
    <row r="149" customHeight="1" spans="1:6">
      <c r="A149" s="172"/>
      <c r="B149" s="214"/>
      <c r="E149" s="166"/>
      <c r="F149" s="214"/>
    </row>
    <row r="150" customHeight="1" spans="1:6">
      <c r="A150" s="172"/>
      <c r="B150" s="214"/>
      <c r="E150" s="166"/>
      <c r="F150" s="214"/>
    </row>
    <row r="151" customHeight="1" spans="1:6">
      <c r="A151" s="172"/>
      <c r="B151" s="214"/>
      <c r="E151" s="166"/>
      <c r="F151" s="214"/>
    </row>
    <row r="152" customHeight="1" spans="1:6">
      <c r="A152" s="172"/>
      <c r="B152" s="214"/>
      <c r="E152" s="166"/>
      <c r="F152" s="214"/>
    </row>
    <row r="153" customHeight="1" spans="1:6">
      <c r="A153" s="172"/>
      <c r="B153" s="214"/>
      <c r="E153" s="166"/>
      <c r="F153" s="214"/>
    </row>
    <row r="154" customHeight="1" spans="1:6">
      <c r="A154" s="172"/>
      <c r="B154" s="214"/>
      <c r="E154" s="166"/>
      <c r="F154" s="214"/>
    </row>
    <row r="155" customHeight="1" spans="1:6">
      <c r="A155" s="172"/>
      <c r="B155" s="214"/>
      <c r="E155" s="166"/>
      <c r="F155" s="214"/>
    </row>
    <row r="156" customHeight="1" spans="1:6">
      <c r="A156" s="172"/>
      <c r="B156" s="214"/>
      <c r="E156" s="166"/>
      <c r="F156" s="214"/>
    </row>
    <row r="157" customHeight="1" spans="2:6">
      <c r="B157" s="176"/>
      <c r="C157" s="166"/>
      <c r="D157" s="166"/>
      <c r="E157" s="166"/>
      <c r="F157" s="201"/>
    </row>
    <row r="158" customHeight="1" spans="2:6">
      <c r="B158" s="176"/>
      <c r="C158" s="166"/>
      <c r="D158" s="166"/>
      <c r="E158" s="166"/>
      <c r="F158" s="201"/>
    </row>
    <row r="159" customHeight="1" spans="2:6">
      <c r="B159" s="177"/>
      <c r="C159" s="166"/>
      <c r="D159" s="166"/>
      <c r="E159" s="166"/>
      <c r="F159" s="201"/>
    </row>
    <row r="160" customHeight="1" spans="2:6">
      <c r="B160" s="176"/>
      <c r="C160" s="166"/>
      <c r="D160" s="166"/>
      <c r="E160" s="166"/>
      <c r="F160" s="201"/>
    </row>
    <row r="161" customHeight="1" spans="2:6">
      <c r="B161" s="176"/>
      <c r="C161" s="166"/>
      <c r="D161" s="166"/>
      <c r="E161" s="166"/>
      <c r="F161" s="201"/>
    </row>
    <row r="162" customHeight="1" spans="2:6">
      <c r="B162" s="177"/>
      <c r="C162" s="166"/>
      <c r="D162" s="166"/>
      <c r="E162" s="166"/>
      <c r="F162" s="201"/>
    </row>
    <row r="163" customHeight="1" spans="2:6">
      <c r="B163" s="176"/>
      <c r="C163" s="166"/>
      <c r="D163" s="166"/>
      <c r="E163" s="166"/>
      <c r="F163" s="201"/>
    </row>
    <row r="164" customHeight="1" spans="2:6">
      <c r="B164" s="176"/>
      <c r="C164" s="166"/>
      <c r="D164" s="166"/>
      <c r="E164" s="166"/>
      <c r="F164" s="201"/>
    </row>
    <row r="165" customHeight="1" spans="2:6">
      <c r="B165" s="176"/>
      <c r="C165" s="166"/>
      <c r="D165" s="166"/>
      <c r="E165" s="166"/>
      <c r="F165" s="201"/>
    </row>
    <row r="166" customHeight="1" spans="2:6">
      <c r="B166" s="176"/>
      <c r="C166" s="166"/>
      <c r="D166" s="166"/>
      <c r="E166" s="166"/>
      <c r="F166" s="201"/>
    </row>
    <row r="167" customHeight="1" spans="2:6">
      <c r="B167" s="176"/>
      <c r="C167" s="166"/>
      <c r="D167" s="166"/>
      <c r="E167" s="166"/>
      <c r="F167" s="201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2">
    <cfRule type="containsBlanks" dxfId="25" priority="1">
      <formula>LEN(TRIM(G9))=0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4"/>
  <sheetViews>
    <sheetView zoomScale="60" zoomScaleNormal="60" zoomScaleSheetLayoutView="40" topLeftCell="A4" workbookViewId="0">
      <selection activeCell="U20" sqref="U20"/>
    </sheetView>
  </sheetViews>
  <sheetFormatPr defaultColWidth="9.14285714285714" defaultRowHeight="25.5" customHeight="1"/>
  <cols>
    <col min="1" max="1" width="10.2857142857143" style="79" customWidth="1"/>
    <col min="2" max="2" width="42.5714285714286" style="122" customWidth="1"/>
    <col min="3" max="3" width="18.8571428571429" style="122" customWidth="1"/>
    <col min="4" max="4" width="10.7142857142857" style="122" customWidth="1"/>
    <col min="5" max="5" width="10.8571428571429" style="122" customWidth="1"/>
    <col min="6" max="6" width="15.7142857142857" style="122" customWidth="1"/>
    <col min="7" max="7" width="17.1428571428571" style="79" customWidth="1"/>
    <col min="8" max="8" width="16.1428571428571" style="79" customWidth="1"/>
    <col min="9" max="9" width="13.4285714285714" style="79" customWidth="1"/>
    <col min="10" max="10" width="12.2857142857143" style="79" customWidth="1"/>
    <col min="11" max="11" width="13.5714285714286" style="79" customWidth="1"/>
    <col min="12" max="12" width="13.1428571428571" style="79" customWidth="1"/>
    <col min="13" max="13" width="11.1428571428571" style="79" customWidth="1"/>
    <col min="14" max="14" width="16.7142857142857" style="79" customWidth="1"/>
    <col min="15" max="15" width="10" style="79" customWidth="1"/>
    <col min="16" max="16" width="11.2857142857143" style="79" customWidth="1"/>
    <col min="17" max="18" width="11.1428571428571" style="79" customWidth="1"/>
    <col min="19" max="19" width="10.2857142857143" style="79" customWidth="1"/>
    <col min="20" max="20" width="15" style="79" customWidth="1"/>
    <col min="21" max="21" width="4" style="79" customWidth="1"/>
    <col min="22" max="22" width="16.7142857142857" style="79" customWidth="1"/>
    <col min="23" max="23" width="4" style="79" customWidth="1"/>
    <col min="24" max="24" width="16.7142857142857" style="79" customWidth="1"/>
    <col min="25" max="25" width="15" style="79" customWidth="1"/>
    <col min="26" max="26" width="9.14285714285714" style="79"/>
    <col min="27" max="66" width="9.14285714285714" style="215"/>
    <col min="67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50"/>
    </row>
    <row r="2" ht="11.25" customHeight="1" spans="1:25">
      <c r="A2" s="98"/>
      <c r="B2" s="82"/>
      <c r="C2" s="82"/>
      <c r="D2" s="82"/>
      <c r="E2" s="82"/>
      <c r="F2" s="193"/>
      <c r="G2" s="84">
        <f>IF(COUNTA(MASCHI4[24-mar])=0,0,COUNTA(MASCHI4[24-mar]))</f>
        <v>4</v>
      </c>
      <c r="H2" s="84">
        <f>IF(COUNTA(MASCHI4[14-apr])=0,0,COUNTA(MASCHI4[14-apr]))</f>
        <v>4</v>
      </c>
      <c r="I2" s="84">
        <f>IF(COUNTA(MASCHI4[12-mag])=0,0,COUNTA(MASCHI4[12-mag]))</f>
        <v>3</v>
      </c>
      <c r="J2" s="84">
        <f>IF(COUNTA(MASCHI4[12-giu])=0,0,COUNTA(MASCHI4[12-giu]))</f>
        <v>4</v>
      </c>
      <c r="K2" s="84">
        <f>IF(COUNTA(MASCHI4[16-giu])=0,0,COUNTA(MASCHI4[16-giu]))</f>
        <v>3</v>
      </c>
      <c r="L2" s="84">
        <f>IF(COUNTA(MASCHI4[25-giu])=0,0,COUNTA(MASCHI4[25-giu]))</f>
        <v>2</v>
      </c>
      <c r="M2" s="84">
        <f>IF(COUNTA(MASCHI4[29-ago])=0,0,COUNTA(MASCHI4[29-ago]))</f>
        <v>2</v>
      </c>
      <c r="N2" s="84">
        <f>IF(COUNTA(MASCHI4[29-set])=0,0,COUNTA(MASCHI4[29-set]))</f>
        <v>3</v>
      </c>
      <c r="O2" s="84">
        <f>IF(COUNTA(MASCHI4[data9])=0,0,COUNTA(MASCHI4[data9]))</f>
        <v>0</v>
      </c>
      <c r="P2" s="84">
        <f>IF(COUNTA(MASCHI4[data10])=0,0,COUNTA(MASCHI4[data10]))</f>
        <v>0</v>
      </c>
      <c r="Q2" s="84">
        <f>IF(COUNTA(MASCHI4[data11])=0,0,COUNTA(MASCHI4[data11]))</f>
        <v>0</v>
      </c>
      <c r="R2" s="84">
        <f>IF(COUNTA(MASCHI4[data12])=0,0,COUNTA(MASCHI4[data12]))</f>
        <v>0</v>
      </c>
      <c r="S2" s="84">
        <f>IF(COUNTA(MASCHI4[data13])=0,0,COUNTA(MASCHI4[data13]))</f>
        <v>0</v>
      </c>
      <c r="T2" s="84"/>
      <c r="U2" s="84"/>
      <c r="V2" s="84">
        <f>IF(COUNTA(MASCHI4[data13])=0,0,COUNTA(MASCHI4[data13]))</f>
        <v>0</v>
      </c>
      <c r="W2" s="83"/>
      <c r="X2" s="83"/>
      <c r="Y2" s="83"/>
    </row>
    <row r="3" ht="11.2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 t="shared" ref="H3:S3" si="0">IF(H2=0,0,1)</f>
        <v>1</v>
      </c>
      <c r="I3" s="84">
        <f t="shared" si="0"/>
        <v>1</v>
      </c>
      <c r="J3" s="84">
        <f t="shared" si="0"/>
        <v>1</v>
      </c>
      <c r="K3" s="84">
        <f t="shared" si="0"/>
        <v>1</v>
      </c>
      <c r="L3" s="84">
        <f t="shared" si="0"/>
        <v>1</v>
      </c>
      <c r="M3" s="84">
        <f t="shared" si="0"/>
        <v>1</v>
      </c>
      <c r="N3" s="84">
        <f t="shared" si="0"/>
        <v>1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8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216" t="s">
        <v>62</v>
      </c>
      <c r="B4" s="217"/>
      <c r="C4" s="217"/>
      <c r="D4" s="217"/>
      <c r="E4" s="218"/>
      <c r="F4" s="219"/>
      <c r="G4" s="220" t="s">
        <v>3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55"/>
    </row>
    <row r="5" customHeight="1" spans="1:25">
      <c r="A5" s="222"/>
      <c r="B5" s="223"/>
      <c r="C5" s="223"/>
      <c r="D5" s="223"/>
      <c r="E5" s="224"/>
      <c r="F5" s="225"/>
      <c r="G5" s="226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56"/>
    </row>
    <row r="6" customHeight="1" spans="1:25">
      <c r="A6" s="98"/>
      <c r="B6" s="194"/>
      <c r="C6" s="194"/>
      <c r="D6" s="194"/>
      <c r="E6" s="194"/>
      <c r="F6" s="194"/>
      <c r="G6" s="228" t="s">
        <v>4</v>
      </c>
      <c r="H6" s="228" t="s">
        <v>5</v>
      </c>
      <c r="I6" s="228" t="s">
        <v>6</v>
      </c>
      <c r="J6" s="228" t="s">
        <v>7</v>
      </c>
      <c r="K6" s="228" t="s">
        <v>8</v>
      </c>
      <c r="L6" s="228" t="s">
        <v>9</v>
      </c>
      <c r="M6" s="228" t="s">
        <v>10</v>
      </c>
      <c r="N6" s="228" t="s">
        <v>11</v>
      </c>
      <c r="O6" s="228" t="s">
        <v>12</v>
      </c>
      <c r="P6" s="228" t="s">
        <v>13</v>
      </c>
      <c r="Q6" s="228" t="s">
        <v>14</v>
      </c>
      <c r="R6" s="228" t="s">
        <v>15</v>
      </c>
      <c r="S6" s="244" t="s">
        <v>16</v>
      </c>
      <c r="T6" s="245"/>
      <c r="U6" s="128"/>
      <c r="V6" s="246" t="s">
        <v>17</v>
      </c>
      <c r="W6" s="128"/>
      <c r="X6" s="130" t="s">
        <v>18</v>
      </c>
      <c r="Y6" s="153" t="s">
        <v>19</v>
      </c>
    </row>
    <row r="7" customHeight="1" spans="1:31">
      <c r="A7" s="98"/>
      <c r="B7" s="194"/>
      <c r="C7" s="194"/>
      <c r="D7" s="194"/>
      <c r="E7" s="194"/>
      <c r="F7" s="194"/>
      <c r="G7" s="229" t="s">
        <v>20</v>
      </c>
      <c r="H7" s="229" t="s">
        <v>21</v>
      </c>
      <c r="I7" s="229" t="s">
        <v>22</v>
      </c>
      <c r="J7" s="229" t="s">
        <v>23</v>
      </c>
      <c r="K7" s="242" t="s">
        <v>24</v>
      </c>
      <c r="L7" s="229" t="s">
        <v>25</v>
      </c>
      <c r="M7" s="229" t="s">
        <v>23</v>
      </c>
      <c r="N7" s="229" t="s">
        <v>20</v>
      </c>
      <c r="O7" s="229" t="s">
        <v>26</v>
      </c>
      <c r="P7" s="229" t="s">
        <v>26</v>
      </c>
      <c r="Q7" s="229" t="s">
        <v>26</v>
      </c>
      <c r="R7" s="229" t="s">
        <v>26</v>
      </c>
      <c r="S7" s="247" t="s">
        <v>26</v>
      </c>
      <c r="T7" s="248"/>
      <c r="U7" s="133"/>
      <c r="V7" s="249"/>
      <c r="W7" s="133"/>
      <c r="X7" s="130"/>
      <c r="Y7" s="153"/>
      <c r="Z7" s="154"/>
      <c r="AA7" s="161"/>
      <c r="AB7" s="161"/>
      <c r="AC7" s="161"/>
      <c r="AD7" s="161"/>
      <c r="AE7" s="161"/>
    </row>
    <row r="8" s="78" customFormat="1" customHeight="1" spans="1:66">
      <c r="A8" s="102" t="s">
        <v>27</v>
      </c>
      <c r="B8" s="103" t="s">
        <v>28</v>
      </c>
      <c r="C8" s="104" t="s">
        <v>29</v>
      </c>
      <c r="D8" s="104" t="s">
        <v>30</v>
      </c>
      <c r="E8" s="103" t="s">
        <v>31</v>
      </c>
      <c r="F8" s="104" t="s">
        <v>26</v>
      </c>
      <c r="G8" s="278" t="s">
        <v>32</v>
      </c>
      <c r="H8" s="278" t="s">
        <v>33</v>
      </c>
      <c r="I8" s="278" t="s">
        <v>34</v>
      </c>
      <c r="J8" s="278" t="s">
        <v>35</v>
      </c>
      <c r="K8" s="278" t="s">
        <v>36</v>
      </c>
      <c r="L8" s="278" t="s">
        <v>37</v>
      </c>
      <c r="M8" s="278" t="s">
        <v>38</v>
      </c>
      <c r="N8" s="278" t="s">
        <v>39</v>
      </c>
      <c r="O8" s="278" t="s">
        <v>40</v>
      </c>
      <c r="P8" s="278" t="s">
        <v>41</v>
      </c>
      <c r="Q8" s="278" t="s">
        <v>42</v>
      </c>
      <c r="R8" s="278" t="s">
        <v>43</v>
      </c>
      <c r="S8" s="279" t="s">
        <v>44</v>
      </c>
      <c r="T8" s="251" t="s">
        <v>45</v>
      </c>
      <c r="U8" s="136" t="s">
        <v>46</v>
      </c>
      <c r="V8" s="280" t="s">
        <v>47</v>
      </c>
      <c r="W8" s="138" t="s">
        <v>48</v>
      </c>
      <c r="X8" s="139" t="s">
        <v>49</v>
      </c>
      <c r="Y8" s="155" t="s">
        <v>50</v>
      </c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</row>
    <row r="9" customHeight="1" spans="1:26">
      <c r="A9" s="231">
        <f t="shared" ref="A9:A15" si="2">IF(A8="Elenco",1,IF(B9="","",A8+1))</f>
        <v>1</v>
      </c>
      <c r="B9" s="108" t="s">
        <v>63</v>
      </c>
      <c r="C9" s="200">
        <v>2012</v>
      </c>
      <c r="D9" s="109" t="s">
        <v>55</v>
      </c>
      <c r="E9" s="110">
        <f t="shared" ref="E9:E15" si="3">IF(COUNTA(G9:S9)+COUNTA(V9:V9)=0,"",COUNTA(G9:S9)+COUNTA(V9:V9))</f>
        <v>9</v>
      </c>
      <c r="F9" s="111" t="s">
        <v>24</v>
      </c>
      <c r="G9" s="200">
        <v>7</v>
      </c>
      <c r="H9" s="109">
        <v>1</v>
      </c>
      <c r="I9" s="109">
        <v>1</v>
      </c>
      <c r="J9" s="109">
        <v>1</v>
      </c>
      <c r="K9" s="109">
        <v>1</v>
      </c>
      <c r="L9" s="109">
        <v>1</v>
      </c>
      <c r="M9" s="109">
        <v>1</v>
      </c>
      <c r="N9" s="109">
        <v>1</v>
      </c>
      <c r="O9" s="109"/>
      <c r="P9" s="109"/>
      <c r="Q9" s="109"/>
      <c r="R9" s="109"/>
      <c r="S9" s="109"/>
      <c r="T9" s="20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720</v>
      </c>
      <c r="U9" s="252">
        <f>AVERAGE(MASCHI4[[#This Row],[24-mar]:[data13]])</f>
        <v>1.75</v>
      </c>
      <c r="V9" s="142">
        <v>2</v>
      </c>
      <c r="W9" s="143"/>
      <c r="X9" s="144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847.5</v>
      </c>
      <c r="Y9" s="157">
        <f t="shared" ref="Y9:Y15" si="4">IFERROR(IF(E9=0,"",X9/E9),"")</f>
        <v>94.1666666666667</v>
      </c>
      <c r="Z9" s="156"/>
    </row>
    <row r="10" customHeight="1" spans="1:26">
      <c r="A10" s="231">
        <f t="shared" si="2"/>
        <v>2</v>
      </c>
      <c r="B10" s="108" t="s">
        <v>64</v>
      </c>
      <c r="C10" s="200">
        <v>2013</v>
      </c>
      <c r="D10" s="109" t="s">
        <v>52</v>
      </c>
      <c r="E10" s="110">
        <f t="shared" si="3"/>
        <v>8</v>
      </c>
      <c r="F10" s="111" t="s">
        <v>65</v>
      </c>
      <c r="G10" s="232">
        <v>5</v>
      </c>
      <c r="H10" s="109">
        <v>2</v>
      </c>
      <c r="I10" s="109">
        <v>2</v>
      </c>
      <c r="J10" s="109">
        <v>2</v>
      </c>
      <c r="K10" s="109">
        <v>2</v>
      </c>
      <c r="L10" s="109">
        <v>2</v>
      </c>
      <c r="M10" s="109"/>
      <c r="N10" s="109">
        <v>1</v>
      </c>
      <c r="O10" s="109"/>
      <c r="P10" s="109"/>
      <c r="Q10" s="109"/>
      <c r="R10" s="109"/>
      <c r="S10" s="109"/>
      <c r="T10" s="20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584</v>
      </c>
      <c r="U10" s="252">
        <f>AVERAGE(MASCHI[[#This Row],[24-mar]:[data13]])</f>
        <v>2.75</v>
      </c>
      <c r="V10" s="142">
        <v>1</v>
      </c>
      <c r="W10" s="143"/>
      <c r="X10" s="144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726.5</v>
      </c>
      <c r="Y10" s="157">
        <f t="shared" si="4"/>
        <v>90.8125</v>
      </c>
      <c r="Z10" s="156"/>
    </row>
    <row r="11" customHeight="1" spans="1:26">
      <c r="A11" s="231">
        <f t="shared" si="2"/>
        <v>3</v>
      </c>
      <c r="B11" s="108" t="s">
        <v>66</v>
      </c>
      <c r="C11" s="200">
        <v>2013</v>
      </c>
      <c r="D11" s="109" t="s">
        <v>55</v>
      </c>
      <c r="E11" s="110">
        <f t="shared" si="3"/>
        <v>5</v>
      </c>
      <c r="F11" s="111" t="s">
        <v>67</v>
      </c>
      <c r="G11" s="233">
        <v>6</v>
      </c>
      <c r="H11" s="234"/>
      <c r="I11" s="234">
        <v>3</v>
      </c>
      <c r="J11" s="234">
        <v>4</v>
      </c>
      <c r="K11" s="234">
        <v>3</v>
      </c>
      <c r="L11" s="234"/>
      <c r="M11" s="234"/>
      <c r="N11" s="234">
        <v>3</v>
      </c>
      <c r="O11" s="234"/>
      <c r="P11" s="234"/>
      <c r="Q11" s="234"/>
      <c r="R11" s="234"/>
      <c r="S11" s="234"/>
      <c r="T11" s="20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360</v>
      </c>
      <c r="U11" s="253">
        <f>AVERAGE(MASCHI4[[#This Row],[24-mar]:[data13]])</f>
        <v>3.8</v>
      </c>
      <c r="V11" s="205"/>
      <c r="W11" s="206"/>
      <c r="X11" s="207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360</v>
      </c>
      <c r="Y11" s="210">
        <f t="shared" si="4"/>
        <v>72</v>
      </c>
      <c r="Z11" s="156"/>
    </row>
    <row r="12" customHeight="1" spans="1:26">
      <c r="A12" s="231">
        <f t="shared" si="2"/>
        <v>4</v>
      </c>
      <c r="B12" s="108" t="s">
        <v>68</v>
      </c>
      <c r="C12" s="200">
        <v>2012</v>
      </c>
      <c r="D12" s="109" t="s">
        <v>69</v>
      </c>
      <c r="E12" s="110">
        <f t="shared" si="3"/>
        <v>2</v>
      </c>
      <c r="F12" s="111" t="s">
        <v>21</v>
      </c>
      <c r="G12" s="109"/>
      <c r="H12" s="109">
        <v>5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20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64</v>
      </c>
      <c r="U12" s="252">
        <f>AVERAGE(MASCHI4[[#This Row],[24-mar]:[data13]])</f>
        <v>5</v>
      </c>
      <c r="V12" s="142">
        <v>3</v>
      </c>
      <c r="W12" s="143"/>
      <c r="X12" s="144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179.5</v>
      </c>
      <c r="Y12" s="157">
        <f t="shared" si="4"/>
        <v>89.75</v>
      </c>
      <c r="Z12" s="156"/>
    </row>
    <row r="13" customHeight="1" spans="1:26">
      <c r="A13" s="231">
        <f t="shared" si="2"/>
        <v>5</v>
      </c>
      <c r="B13" s="195" t="s">
        <v>70</v>
      </c>
      <c r="C13" s="109">
        <v>2012</v>
      </c>
      <c r="D13" s="109" t="s">
        <v>55</v>
      </c>
      <c r="E13" s="110">
        <f t="shared" si="3"/>
        <v>2</v>
      </c>
      <c r="F13" s="111" t="s">
        <v>71</v>
      </c>
      <c r="G13" s="112">
        <v>2</v>
      </c>
      <c r="H13" s="109">
        <v>3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209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162</v>
      </c>
      <c r="U13" s="252">
        <f>AVERAGE(MASCHI[[#This Row],[24-mar]:[data13]])</f>
        <v>5</v>
      </c>
      <c r="V13" s="142"/>
      <c r="W13" s="143"/>
      <c r="X13" s="144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162</v>
      </c>
      <c r="Y13" s="157">
        <f t="shared" si="4"/>
        <v>81</v>
      </c>
      <c r="Z13" s="156"/>
    </row>
    <row r="14" customHeight="1" spans="1:25">
      <c r="A14" s="235">
        <f t="shared" si="2"/>
        <v>6</v>
      </c>
      <c r="B14" s="114" t="s">
        <v>72</v>
      </c>
      <c r="C14" s="236">
        <v>2014</v>
      </c>
      <c r="D14" s="236"/>
      <c r="E14" s="237">
        <f t="shared" si="3"/>
        <v>1</v>
      </c>
      <c r="F14" s="238" t="s">
        <v>23</v>
      </c>
      <c r="G14" s="239"/>
      <c r="H14" s="240"/>
      <c r="I14" s="240"/>
      <c r="J14" s="233">
        <v>2</v>
      </c>
      <c r="K14" s="233"/>
      <c r="L14" s="233"/>
      <c r="M14" s="233"/>
      <c r="N14" s="233"/>
      <c r="O14" s="233"/>
      <c r="P14" s="233"/>
      <c r="Q14" s="233"/>
      <c r="R14" s="233"/>
      <c r="S14" s="233"/>
      <c r="T14" s="14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4" s="254">
        <f>AVERAGE(MASCHI4[[#This Row],[24-mar]:[data13]])</f>
        <v>2</v>
      </c>
      <c r="V14" s="147"/>
      <c r="W14" s="148"/>
      <c r="X14" s="149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85</v>
      </c>
      <c r="Y14" s="158">
        <f t="shared" si="4"/>
        <v>85</v>
      </c>
    </row>
    <row r="15" customHeight="1" spans="1:25">
      <c r="A15" s="235">
        <f t="shared" si="2"/>
        <v>7</v>
      </c>
      <c r="B15" s="114" t="s">
        <v>73</v>
      </c>
      <c r="C15" s="236">
        <v>2012</v>
      </c>
      <c r="D15" s="236"/>
      <c r="E15" s="237">
        <f t="shared" si="3"/>
        <v>1</v>
      </c>
      <c r="F15" s="238" t="s">
        <v>23</v>
      </c>
      <c r="G15" s="239"/>
      <c r="H15" s="240"/>
      <c r="I15" s="240"/>
      <c r="J15" s="233"/>
      <c r="K15" s="233"/>
      <c r="L15" s="233"/>
      <c r="M15" s="233">
        <v>2</v>
      </c>
      <c r="N15" s="233"/>
      <c r="O15" s="233"/>
      <c r="P15" s="233"/>
      <c r="Q15" s="233"/>
      <c r="R15" s="233"/>
      <c r="S15" s="233"/>
      <c r="T15" s="145">
        <f>IF(IF(MASCHI4[[#This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Row],[data13]],Tabella4[1],Tabella4[100]),0)=0,"",IF(MASCHI4[[#This Row],[24-mar]]&lt;&gt;0,LOOKUP(MASCHI4[[#This Row],[24-mar]],Tabella4[1],Tabella4[100]),0)+IF(MASCHI4[[#This Row],[14-apr]]&lt;&gt;0,LOOKUP(MASCHI4[[#This Row],[14-apr]],Tabella4[1],Tabella4[100]),0)+IF(MASCHI4[[#This Row],[12-mag]]&lt;&gt;0,LOOKUP(MASCHI4[[#This Row],[12-mag]],Tabella4[1],Tabella4[100]),0)+IF(MASCHI4[[#This Row],[12-giu]]&lt;&gt;0,LOOKUP(MASCHI4[[#This Row],[12-giu]],Tabella4[1],Tabella4[100]),0)+IF(MASCHI4[[#This Row],[16-giu]]&lt;&gt;0,LOOKUP(MASCHI4[[#This Row],[16-giu]],Tabella4[1],Tabella4[100]),0)+IF(MASCHI4[[#This Row],[25-giu]]&lt;&gt;0,LOOKUP(MASCHI4[[#This Row],[25-giu]],Tabella4[1],Tabella4[100]),0)+IF(MASCHI4[[#This Row],[29-ago]]&lt;&gt;0,LOOKUP(MASCHI4[[#This Row],[29-ago]],Tabella4[1],Tabella4[100]),0)+IF(MASCHI4[[#This Row],[29-set]]&lt;&gt;0,LOOKUP(MASCHI4[[#This Row],[29-set]],Tabella4[1],Tabella4[100]),0)+IF(MASCHI4[[#This Row],[data9]]&lt;&gt;0,LOOKUP(MASCHI4[[#This Row],[data9]],Tabella4[1],Tabella4[100]),0)+IF(MASCHI4[[#This Row],[data10]]&lt;&gt;0,LOOKUP(MASCHI4[[#This Row],[data10]],Tabella4[1],Tabella4[100]),0)+IF(MASCHI4[[#This Row],[data11]]&lt;&gt;0,LOOKUP(MASCHI4[[#This Row],[data11]],Tabella4[1],Tabella4[100]),0)+IF(MASCHI4[[#This Row],[data12]]&lt;&gt;0,LOOKUP(MASCHI4[[#This Row],[data12]],Tabella4[1],Tabella4[100]),0)+IF(MASCHI4[[#This Row],[data13]]&lt;&gt;0,LOOKUP(MASCHI4[[#This Row],[data13]],Tabella4[1],Tabella4[100]),0))</f>
        <v>85</v>
      </c>
      <c r="U15" s="254">
        <f>AVERAGE(MASCHI4[[#This Row],[24-mar]:[data13]])</f>
        <v>2</v>
      </c>
      <c r="V15" s="147"/>
      <c r="W15" s="148"/>
      <c r="X15" s="149">
        <f>IFERROR(IF(MASCHI4[[#This Row],[TOTALE]]+(IF(MASCHI4[[#This Row],[27-ott]]="",0,LOOKUP(MASCHI4[[#This Row],[27-ott]],Tabella4[1],Tabella4[100])))=0,"",(MASCHI4[[#This Row],[TOTALE]]+(IF(MASCHI4[[#This Row],[27-ott]]="",0,(LOOKUP(MASCHI4[[#This Row],[27-ott]],Tabella4[1],Tabella4[100])))*1.5))),"")</f>
        <v>85</v>
      </c>
      <c r="Y15" s="158">
        <f t="shared" si="4"/>
        <v>85</v>
      </c>
    </row>
    <row r="16" customHeight="1" spans="1:2">
      <c r="A16" s="120"/>
      <c r="B16" s="121"/>
    </row>
    <row r="17" customHeight="1" spans="1:11">
      <c r="A17" s="120"/>
      <c r="B17" s="121"/>
      <c r="K17" s="162" t="s">
        <v>74</v>
      </c>
    </row>
    <row r="18" customHeight="1" spans="1:16">
      <c r="A18" s="120"/>
      <c r="B18" s="121"/>
      <c r="L18" s="243"/>
      <c r="M18" s="243"/>
      <c r="N18" s="243"/>
      <c r="O18" s="243"/>
      <c r="P18" s="243"/>
    </row>
    <row r="19" customHeight="1" spans="1:16">
      <c r="A19" s="120"/>
      <c r="B19" s="121"/>
      <c r="L19" s="243"/>
      <c r="M19" s="243"/>
      <c r="N19" s="243"/>
      <c r="O19" s="243"/>
      <c r="P19" s="243"/>
    </row>
    <row r="20" customHeight="1" spans="1:2">
      <c r="A20" s="120"/>
      <c r="B20" s="121"/>
    </row>
    <row r="21" customHeight="1" spans="1:2">
      <c r="A21" s="120"/>
      <c r="B21" s="121"/>
    </row>
    <row r="22" customHeight="1" spans="1:2">
      <c r="A22" s="120"/>
      <c r="B22" s="121"/>
    </row>
    <row r="23" customHeight="1" spans="1:2">
      <c r="A23" s="120"/>
      <c r="B23" s="121"/>
    </row>
    <row r="24" customHeight="1" spans="1:11">
      <c r="A24" s="120"/>
      <c r="B24" s="121"/>
      <c r="G24" s="241"/>
      <c r="H24" s="241"/>
      <c r="I24" s="241"/>
      <c r="J24" s="241"/>
      <c r="K24" s="241"/>
    </row>
    <row r="25" customHeight="1" spans="1:11">
      <c r="A25" s="120"/>
      <c r="B25" s="121"/>
      <c r="G25" s="241"/>
      <c r="H25" s="241"/>
      <c r="I25" s="241"/>
      <c r="J25" s="241"/>
      <c r="K25" s="241"/>
    </row>
    <row r="26" customHeight="1" spans="1:2">
      <c r="A26" s="120"/>
      <c r="B26" s="121"/>
    </row>
    <row r="27" customHeight="1" spans="1:2">
      <c r="A27" s="120"/>
      <c r="B27" s="121"/>
    </row>
    <row r="28" customHeight="1" spans="1:2">
      <c r="A28" s="120"/>
      <c r="B28" s="121"/>
    </row>
    <row r="29" customHeight="1" spans="1:2">
      <c r="A29" s="120"/>
      <c r="B29" s="121"/>
    </row>
    <row r="30" customHeight="1" spans="1:2">
      <c r="A30" s="120"/>
      <c r="B30" s="121"/>
    </row>
    <row r="31" customHeight="1" spans="1:2">
      <c r="A31" s="120"/>
      <c r="B31" s="121"/>
    </row>
    <row r="32" customHeight="1" spans="1:2">
      <c r="A32" s="120"/>
      <c r="B32" s="121"/>
    </row>
    <row r="33" customHeight="1" spans="1:2">
      <c r="A33" s="120"/>
      <c r="B33" s="121"/>
    </row>
    <row r="34" customHeight="1" spans="1:2">
      <c r="A34" s="120"/>
      <c r="B34" s="121"/>
    </row>
    <row r="35" customHeight="1" spans="1:2">
      <c r="A35" s="120"/>
      <c r="B35" s="121"/>
    </row>
    <row r="36" customHeight="1" spans="1:2">
      <c r="A36" s="120"/>
      <c r="B36" s="121"/>
    </row>
    <row r="37" customHeight="1" spans="1:2">
      <c r="A37" s="120"/>
      <c r="B37" s="121"/>
    </row>
    <row r="38" customHeight="1" spans="1:2">
      <c r="A38" s="120"/>
      <c r="B38" s="121"/>
    </row>
    <row r="39" customHeight="1" spans="1:6">
      <c r="A39" s="120"/>
      <c r="B39" s="121"/>
      <c r="F39" s="201"/>
    </row>
    <row r="40" customHeight="1" spans="1:6">
      <c r="A40" s="120"/>
      <c r="B40" s="121"/>
      <c r="F40" s="201"/>
    </row>
    <row r="41" customHeight="1" spans="1:6">
      <c r="A41" s="120"/>
      <c r="B41" s="121"/>
      <c r="F41" s="201"/>
    </row>
    <row r="42" customHeight="1" spans="1:6">
      <c r="A42" s="120"/>
      <c r="B42" s="121"/>
      <c r="F42" s="201"/>
    </row>
    <row r="43" customHeight="1" spans="1:6">
      <c r="A43" s="120"/>
      <c r="B43" s="121"/>
      <c r="F43" s="201"/>
    </row>
    <row r="44" customHeight="1" spans="1:6">
      <c r="A44" s="120"/>
      <c r="B44" s="121"/>
      <c r="F44" s="201"/>
    </row>
    <row r="45" customHeight="1" spans="1:6">
      <c r="A45" s="120"/>
      <c r="B45" s="121"/>
      <c r="F45" s="201"/>
    </row>
    <row r="46" customHeight="1" spans="1:6">
      <c r="A46" s="120"/>
      <c r="B46" s="121"/>
      <c r="F46" s="201"/>
    </row>
    <row r="47" customHeight="1" spans="1:6">
      <c r="A47" s="120"/>
      <c r="B47" s="121"/>
      <c r="F47" s="201"/>
    </row>
    <row r="48" customHeight="1" spans="1:6">
      <c r="A48" s="120"/>
      <c r="B48" s="121"/>
      <c r="F48" s="201"/>
    </row>
    <row r="49" customHeight="1" spans="1:6">
      <c r="A49" s="120"/>
      <c r="B49" s="121"/>
      <c r="F49" s="201"/>
    </row>
    <row r="50" customHeight="1" spans="1:6">
      <c r="A50" s="120"/>
      <c r="B50" s="121"/>
      <c r="F50" s="201"/>
    </row>
    <row r="51" customHeight="1" spans="1:6">
      <c r="A51" s="120"/>
      <c r="B51" s="121"/>
      <c r="F51" s="201"/>
    </row>
    <row r="52" customHeight="1" spans="1:6">
      <c r="A52" s="120"/>
      <c r="B52" s="121"/>
      <c r="F52" s="201"/>
    </row>
    <row r="53" customHeight="1" spans="1:6">
      <c r="A53" s="120"/>
      <c r="B53" s="121"/>
      <c r="F53" s="201"/>
    </row>
    <row r="54" customHeight="1" spans="1:6">
      <c r="A54" s="120"/>
      <c r="B54" s="121"/>
      <c r="F54" s="201"/>
    </row>
    <row r="55" customHeight="1" spans="1:6">
      <c r="A55" s="120"/>
      <c r="B55" s="121"/>
      <c r="F55" s="201"/>
    </row>
    <row r="56" customHeight="1" spans="1:6">
      <c r="A56" s="120"/>
      <c r="B56" s="121"/>
      <c r="F56" s="201"/>
    </row>
    <row r="57" customHeight="1" spans="1:6">
      <c r="A57" s="120"/>
      <c r="B57" s="121"/>
      <c r="F57" s="201"/>
    </row>
    <row r="58" customHeight="1" spans="1:6">
      <c r="A58" s="120"/>
      <c r="B58" s="121"/>
      <c r="F58" s="201"/>
    </row>
    <row r="59" customHeight="1" spans="1:6">
      <c r="A59" s="120"/>
      <c r="B59" s="121"/>
      <c r="F59" s="201"/>
    </row>
    <row r="60" customHeight="1" spans="1:6">
      <c r="A60" s="120"/>
      <c r="B60" s="121"/>
      <c r="F60" s="201"/>
    </row>
    <row r="61" customHeight="1" spans="1:6">
      <c r="A61" s="120"/>
      <c r="B61" s="121"/>
      <c r="F61" s="201"/>
    </row>
    <row r="62" customHeight="1" spans="1:6">
      <c r="A62" s="120"/>
      <c r="B62" s="121"/>
      <c r="F62" s="201"/>
    </row>
    <row r="63" customHeight="1" spans="1:6">
      <c r="A63" s="120"/>
      <c r="B63" s="121"/>
      <c r="F63" s="201"/>
    </row>
    <row r="64" customHeight="1" spans="1:6">
      <c r="A64" s="120"/>
      <c r="B64" s="121"/>
      <c r="F64" s="201"/>
    </row>
    <row r="65" customHeight="1" spans="1:6">
      <c r="A65" s="120"/>
      <c r="B65" s="121"/>
      <c r="F65" s="201"/>
    </row>
    <row r="66" customHeight="1" spans="1:6">
      <c r="A66" s="120"/>
      <c r="B66" s="121"/>
      <c r="F66" s="201"/>
    </row>
    <row r="67" customHeight="1" spans="1:6">
      <c r="A67" s="120"/>
      <c r="B67" s="121"/>
      <c r="F67" s="201"/>
    </row>
    <row r="68" customHeight="1" spans="1:6">
      <c r="A68" s="120"/>
      <c r="B68" s="121"/>
      <c r="F68" s="201"/>
    </row>
    <row r="69" customHeight="1" spans="1:6">
      <c r="A69" s="120"/>
      <c r="B69" s="121"/>
      <c r="F69" s="201"/>
    </row>
    <row r="70" customHeight="1" spans="1:6">
      <c r="A70" s="120"/>
      <c r="B70" s="121"/>
      <c r="F70" s="201"/>
    </row>
    <row r="71" customHeight="1" spans="1:6">
      <c r="A71" s="120"/>
      <c r="B71" s="121"/>
      <c r="F71" s="201"/>
    </row>
    <row r="72" customHeight="1" spans="1:6">
      <c r="A72" s="120"/>
      <c r="B72" s="121"/>
      <c r="F72" s="201"/>
    </row>
    <row r="73" customHeight="1" spans="1:6">
      <c r="A73" s="120"/>
      <c r="B73" s="121"/>
      <c r="F73" s="201"/>
    </row>
    <row r="74" customHeight="1" spans="1:6">
      <c r="A74" s="120"/>
      <c r="B74" s="121"/>
      <c r="F74" s="201"/>
    </row>
    <row r="75" customHeight="1" spans="1:6">
      <c r="A75" s="120"/>
      <c r="B75" s="121"/>
      <c r="F75" s="201"/>
    </row>
    <row r="76" customHeight="1" spans="1:6">
      <c r="A76" s="120"/>
      <c r="B76" s="121"/>
      <c r="F76" s="201"/>
    </row>
    <row r="77" customHeight="1" spans="1:6">
      <c r="A77" s="120"/>
      <c r="B77" s="121"/>
      <c r="F77" s="201"/>
    </row>
    <row r="78" customHeight="1" spans="1:6">
      <c r="A78" s="120"/>
      <c r="B78" s="121"/>
      <c r="F78" s="201"/>
    </row>
    <row r="79" customHeight="1" spans="1:6">
      <c r="A79" s="120"/>
      <c r="B79" s="121"/>
      <c r="F79" s="201"/>
    </row>
    <row r="80" customHeight="1" spans="1:6">
      <c r="A80" s="120"/>
      <c r="B80" s="121"/>
      <c r="F80" s="201"/>
    </row>
    <row r="81" customHeight="1" spans="1:6">
      <c r="A81" s="120"/>
      <c r="B81" s="121"/>
      <c r="F81" s="201"/>
    </row>
    <row r="82" customHeight="1" spans="1:22">
      <c r="A82" s="120"/>
      <c r="B82" s="121"/>
      <c r="E82" s="175"/>
      <c r="F82" s="174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</row>
    <row r="83" customHeight="1" spans="1:22">
      <c r="A83" s="120"/>
      <c r="B83" s="121"/>
      <c r="E83" s="175"/>
      <c r="F83" s="174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</row>
    <row r="84" customHeight="1" spans="1:22">
      <c r="A84" s="120"/>
      <c r="E84" s="175"/>
      <c r="F84" s="211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5"/>
      <c r="U84" s="215"/>
      <c r="V84" s="215"/>
    </row>
    <row r="85" customHeight="1" spans="1:22">
      <c r="A85" s="120"/>
      <c r="E85" s="175"/>
      <c r="F85" s="211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215"/>
      <c r="U85" s="215"/>
      <c r="V85" s="160"/>
    </row>
    <row r="86" customHeight="1" spans="1:22">
      <c r="A86" s="120"/>
      <c r="E86" s="175"/>
      <c r="F86" s="211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215"/>
      <c r="U86" s="215"/>
      <c r="V86" s="160"/>
    </row>
    <row r="87" customHeight="1" spans="1:22">
      <c r="A87" s="120"/>
      <c r="E87" s="175"/>
      <c r="F87" s="211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75"/>
      <c r="U87" s="215"/>
      <c r="V87" s="174"/>
    </row>
    <row r="88" customHeight="1" spans="1:22">
      <c r="A88" s="120"/>
      <c r="E88" s="175"/>
      <c r="F88" s="17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174"/>
    </row>
    <row r="89" customHeight="1" spans="1:22">
      <c r="A89" s="120"/>
      <c r="E89" s="175"/>
      <c r="F89" s="17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</row>
    <row r="90" customHeight="1" spans="1:22">
      <c r="A90" s="120"/>
      <c r="B90" s="161"/>
      <c r="E90" s="258"/>
      <c r="F90" s="17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</row>
    <row r="91" customHeight="1" spans="1:22">
      <c r="A91" s="120"/>
      <c r="B91" s="164"/>
      <c r="C91" s="165"/>
      <c r="D91" s="165"/>
      <c r="E91" s="259"/>
      <c r="F91" s="213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</row>
    <row r="92" customHeight="1" spans="1:22">
      <c r="A92" s="120"/>
      <c r="B92" s="214"/>
      <c r="C92" s="169"/>
      <c r="D92" s="169"/>
      <c r="E92" s="260"/>
      <c r="F92" s="171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</row>
    <row r="93" customHeight="1" spans="1:22">
      <c r="A93" s="120"/>
      <c r="E93" s="175"/>
      <c r="F93" s="17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</row>
    <row r="94" customHeight="1" spans="1:22">
      <c r="A94" s="120"/>
      <c r="E94" s="175"/>
      <c r="F94" s="17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</row>
    <row r="95" customHeight="1" spans="1:22">
      <c r="A95" s="120"/>
      <c r="E95" s="175"/>
      <c r="F95" s="17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</row>
    <row r="96" customHeight="1" spans="1:22">
      <c r="A96" s="120"/>
      <c r="E96" s="175"/>
      <c r="F96" s="17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</row>
    <row r="97" customHeight="1" spans="1:22">
      <c r="A97" s="172"/>
      <c r="B97" s="214"/>
      <c r="E97" s="259"/>
      <c r="F97" s="261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</row>
    <row r="98" customHeight="1" spans="1:22">
      <c r="A98" s="172"/>
      <c r="B98" s="214"/>
      <c r="E98" s="259"/>
      <c r="F98" s="261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</row>
    <row r="99" customHeight="1" spans="1:6">
      <c r="A99" s="172"/>
      <c r="B99" s="214"/>
      <c r="E99" s="166"/>
      <c r="F99" s="214"/>
    </row>
    <row r="100" customHeight="1" spans="1:6">
      <c r="A100" s="172"/>
      <c r="B100" s="214"/>
      <c r="E100" s="166"/>
      <c r="F100" s="214"/>
    </row>
    <row r="101" customHeight="1" spans="1:6">
      <c r="A101" s="172"/>
      <c r="B101" s="214"/>
      <c r="E101" s="166"/>
      <c r="F101" s="214"/>
    </row>
    <row r="102" customHeight="1" spans="1:6">
      <c r="A102" s="172"/>
      <c r="B102" s="214"/>
      <c r="E102" s="166"/>
      <c r="F102" s="214"/>
    </row>
    <row r="103" customHeight="1" spans="1:6">
      <c r="A103" s="172"/>
      <c r="B103" s="214"/>
      <c r="E103" s="166"/>
      <c r="F103" s="214"/>
    </row>
    <row r="104" customHeight="1" spans="1:6">
      <c r="A104" s="172"/>
      <c r="B104" s="214"/>
      <c r="E104" s="166"/>
      <c r="F104" s="214"/>
    </row>
    <row r="105" customHeight="1" spans="1:6">
      <c r="A105" s="172"/>
      <c r="B105" s="214"/>
      <c r="E105" s="166"/>
      <c r="F105" s="214"/>
    </row>
    <row r="106" customHeight="1" spans="1:6">
      <c r="A106" s="172"/>
      <c r="B106" s="214"/>
      <c r="E106" s="166"/>
      <c r="F106" s="214"/>
    </row>
    <row r="107" customHeight="1" spans="1:6">
      <c r="A107" s="172"/>
      <c r="B107" s="214"/>
      <c r="E107" s="166"/>
      <c r="F107" s="214"/>
    </row>
    <row r="108" customHeight="1" spans="1:6">
      <c r="A108" s="172"/>
      <c r="B108" s="214"/>
      <c r="E108" s="166"/>
      <c r="F108" s="214"/>
    </row>
    <row r="109" customHeight="1" spans="1:6">
      <c r="A109" s="172"/>
      <c r="B109" s="214"/>
      <c r="E109" s="166"/>
      <c r="F109" s="214"/>
    </row>
    <row r="110" customHeight="1" spans="1:6">
      <c r="A110" s="172"/>
      <c r="B110" s="214"/>
      <c r="E110" s="166"/>
      <c r="F110" s="214"/>
    </row>
    <row r="111" customHeight="1" spans="1:6">
      <c r="A111" s="172"/>
      <c r="B111" s="214"/>
      <c r="E111" s="166"/>
      <c r="F111" s="214"/>
    </row>
    <row r="112" customHeight="1" spans="1:6">
      <c r="A112" s="172"/>
      <c r="B112" s="214"/>
      <c r="E112" s="166"/>
      <c r="F112" s="214"/>
    </row>
    <row r="113" customHeight="1" spans="1:6">
      <c r="A113" s="172"/>
      <c r="B113" s="214"/>
      <c r="E113" s="166"/>
      <c r="F113" s="214"/>
    </row>
    <row r="114" customHeight="1" spans="1:6">
      <c r="A114" s="172"/>
      <c r="B114" s="214"/>
      <c r="E114" s="166"/>
      <c r="F114" s="214"/>
    </row>
    <row r="115" customHeight="1" spans="1:6">
      <c r="A115" s="172"/>
      <c r="B115" s="214"/>
      <c r="E115" s="166"/>
      <c r="F115" s="214"/>
    </row>
    <row r="116" customHeight="1" spans="1:6">
      <c r="A116" s="172"/>
      <c r="B116" s="214"/>
      <c r="E116" s="166"/>
      <c r="F116" s="214"/>
    </row>
    <row r="117" customHeight="1" spans="1:6">
      <c r="A117" s="172"/>
      <c r="B117" s="214"/>
      <c r="E117" s="166"/>
      <c r="F117" s="214"/>
    </row>
    <row r="118" customHeight="1" spans="1:6">
      <c r="A118" s="172"/>
      <c r="B118" s="214"/>
      <c r="E118" s="166"/>
      <c r="F118" s="214"/>
    </row>
    <row r="119" customHeight="1" spans="1:6">
      <c r="A119" s="172"/>
      <c r="B119" s="214"/>
      <c r="E119" s="166"/>
      <c r="F119" s="214"/>
    </row>
    <row r="120" customHeight="1" spans="1:6">
      <c r="A120" s="172"/>
      <c r="B120" s="214"/>
      <c r="E120" s="166"/>
      <c r="F120" s="214"/>
    </row>
    <row r="121" customHeight="1" spans="1:6">
      <c r="A121" s="172"/>
      <c r="B121" s="214"/>
      <c r="E121" s="166"/>
      <c r="F121" s="214"/>
    </row>
    <row r="122" customHeight="1" spans="1:6">
      <c r="A122" s="172"/>
      <c r="B122" s="214"/>
      <c r="E122" s="166"/>
      <c r="F122" s="214"/>
    </row>
    <row r="123" customHeight="1" spans="1:6">
      <c r="A123" s="172"/>
      <c r="B123" s="214"/>
      <c r="E123" s="166"/>
      <c r="F123" s="214"/>
    </row>
    <row r="124" customHeight="1" spans="1:6">
      <c r="A124" s="172"/>
      <c r="B124" s="214"/>
      <c r="E124" s="166"/>
      <c r="F124" s="214"/>
    </row>
    <row r="125" customHeight="1" spans="1:6">
      <c r="A125" s="172"/>
      <c r="B125" s="214"/>
      <c r="E125" s="166"/>
      <c r="F125" s="214"/>
    </row>
    <row r="126" customHeight="1" spans="1:6">
      <c r="A126" s="172"/>
      <c r="B126" s="214"/>
      <c r="E126" s="166"/>
      <c r="F126" s="214"/>
    </row>
    <row r="127" customHeight="1" spans="1:6">
      <c r="A127" s="172"/>
      <c r="B127" s="214"/>
      <c r="E127" s="166"/>
      <c r="F127" s="214"/>
    </row>
    <row r="128" customHeight="1" spans="1:6">
      <c r="A128" s="172"/>
      <c r="B128" s="214"/>
      <c r="E128" s="166"/>
      <c r="F128" s="214"/>
    </row>
    <row r="129" customHeight="1" spans="1:6">
      <c r="A129" s="172"/>
      <c r="B129" s="214"/>
      <c r="E129" s="166"/>
      <c r="F129" s="214"/>
    </row>
    <row r="130" customHeight="1" spans="1:6">
      <c r="A130" s="172"/>
      <c r="B130" s="214"/>
      <c r="E130" s="166"/>
      <c r="F130" s="214"/>
    </row>
    <row r="131" customHeight="1" spans="1:6">
      <c r="A131" s="172"/>
      <c r="B131" s="214"/>
      <c r="E131" s="166"/>
      <c r="F131" s="214"/>
    </row>
    <row r="132" customHeight="1" spans="1:6">
      <c r="A132" s="172"/>
      <c r="B132" s="214"/>
      <c r="E132" s="166"/>
      <c r="F132" s="214"/>
    </row>
    <row r="133" customHeight="1" spans="1:6">
      <c r="A133" s="172"/>
      <c r="B133" s="214"/>
      <c r="E133" s="166"/>
      <c r="F133" s="214"/>
    </row>
    <row r="134" customHeight="1" spans="1:6">
      <c r="A134" s="172"/>
      <c r="B134" s="214"/>
      <c r="E134" s="166"/>
      <c r="F134" s="214"/>
    </row>
    <row r="135" customHeight="1" spans="1:6">
      <c r="A135" s="172"/>
      <c r="B135" s="214"/>
      <c r="E135" s="166"/>
      <c r="F135" s="214"/>
    </row>
    <row r="136" customHeight="1" spans="1:6">
      <c r="A136" s="172"/>
      <c r="B136" s="214"/>
      <c r="E136" s="166"/>
      <c r="F136" s="214"/>
    </row>
    <row r="137" customHeight="1" spans="1:6">
      <c r="A137" s="172"/>
      <c r="B137" s="214"/>
      <c r="E137" s="166"/>
      <c r="F137" s="214"/>
    </row>
    <row r="138" customHeight="1" spans="1:6">
      <c r="A138" s="172"/>
      <c r="B138" s="214"/>
      <c r="E138" s="166"/>
      <c r="F138" s="214"/>
    </row>
    <row r="139" customHeight="1" spans="1:6">
      <c r="A139" s="172"/>
      <c r="B139" s="214"/>
      <c r="E139" s="166"/>
      <c r="F139" s="214"/>
    </row>
    <row r="140" customHeight="1" spans="1:6">
      <c r="A140" s="172"/>
      <c r="B140" s="214"/>
      <c r="E140" s="166"/>
      <c r="F140" s="214"/>
    </row>
    <row r="141" customHeight="1" spans="1:6">
      <c r="A141" s="172"/>
      <c r="B141" s="214"/>
      <c r="E141" s="166"/>
      <c r="F141" s="214"/>
    </row>
    <row r="142" customHeight="1" spans="1:6">
      <c r="A142" s="172"/>
      <c r="B142" s="214"/>
      <c r="E142" s="166"/>
      <c r="F142" s="214"/>
    </row>
    <row r="143" customHeight="1" spans="1:6">
      <c r="A143" s="172"/>
      <c r="B143" s="214"/>
      <c r="E143" s="166"/>
      <c r="F143" s="214"/>
    </row>
    <row r="144" customHeight="1" spans="1:6">
      <c r="A144" s="172"/>
      <c r="B144" s="214"/>
      <c r="E144" s="166"/>
      <c r="F144" s="214"/>
    </row>
    <row r="145" customHeight="1" spans="1:6">
      <c r="A145" s="172"/>
      <c r="B145" s="214"/>
      <c r="E145" s="166"/>
      <c r="F145" s="214"/>
    </row>
    <row r="146" customHeight="1" spans="1:6">
      <c r="A146" s="172"/>
      <c r="B146" s="214"/>
      <c r="E146" s="166"/>
      <c r="F146" s="214"/>
    </row>
    <row r="147" customHeight="1" spans="1:6">
      <c r="A147" s="172"/>
      <c r="B147" s="214"/>
      <c r="E147" s="166"/>
      <c r="F147" s="214"/>
    </row>
    <row r="148" customHeight="1" spans="1:6">
      <c r="A148" s="172"/>
      <c r="B148" s="214"/>
      <c r="E148" s="166"/>
      <c r="F148" s="214"/>
    </row>
    <row r="149" customHeight="1" spans="1:6">
      <c r="A149" s="172"/>
      <c r="B149" s="214"/>
      <c r="E149" s="166"/>
      <c r="F149" s="214"/>
    </row>
    <row r="150" customHeight="1" spans="1:6">
      <c r="A150" s="172"/>
      <c r="B150" s="214"/>
      <c r="E150" s="166"/>
      <c r="F150" s="214"/>
    </row>
    <row r="151" customHeight="1" spans="1:6">
      <c r="A151" s="172"/>
      <c r="B151" s="214"/>
      <c r="E151" s="166"/>
      <c r="F151" s="214"/>
    </row>
    <row r="152" customHeight="1" spans="1:6">
      <c r="A152" s="172"/>
      <c r="B152" s="214"/>
      <c r="E152" s="166"/>
      <c r="F152" s="214"/>
    </row>
    <row r="153" customHeight="1" spans="1:6">
      <c r="A153" s="172"/>
      <c r="B153" s="214"/>
      <c r="E153" s="166"/>
      <c r="F153" s="214"/>
    </row>
    <row r="154" customHeight="1" spans="2:6">
      <c r="B154" s="176"/>
      <c r="C154" s="166"/>
      <c r="D154" s="166"/>
      <c r="E154" s="166"/>
      <c r="F154" s="201"/>
    </row>
    <row r="155" customHeight="1" spans="2:6">
      <c r="B155" s="176"/>
      <c r="C155" s="166"/>
      <c r="D155" s="166"/>
      <c r="E155" s="166"/>
      <c r="F155" s="201"/>
    </row>
    <row r="156" customHeight="1" spans="2:6">
      <c r="B156" s="177"/>
      <c r="C156" s="166"/>
      <c r="D156" s="166"/>
      <c r="E156" s="166"/>
      <c r="F156" s="201"/>
    </row>
    <row r="157" customHeight="1" spans="2:6">
      <c r="B157" s="176"/>
      <c r="C157" s="166"/>
      <c r="D157" s="166"/>
      <c r="E157" s="166"/>
      <c r="F157" s="201"/>
    </row>
    <row r="158" customHeight="1" spans="2:6">
      <c r="B158" s="176"/>
      <c r="C158" s="166"/>
      <c r="D158" s="166"/>
      <c r="E158" s="166"/>
      <c r="F158" s="201"/>
    </row>
    <row r="159" customHeight="1" spans="2:6">
      <c r="B159" s="177"/>
      <c r="C159" s="166"/>
      <c r="D159" s="166"/>
      <c r="E159" s="166"/>
      <c r="F159" s="201"/>
    </row>
    <row r="160" customHeight="1" spans="2:6">
      <c r="B160" s="176"/>
      <c r="C160" s="166"/>
      <c r="D160" s="166"/>
      <c r="E160" s="166"/>
      <c r="F160" s="201"/>
    </row>
    <row r="161" customHeight="1" spans="2:6">
      <c r="B161" s="176"/>
      <c r="C161" s="166"/>
      <c r="D161" s="166"/>
      <c r="E161" s="166"/>
      <c r="F161" s="201"/>
    </row>
    <row r="162" customHeight="1" spans="2:6">
      <c r="B162" s="176"/>
      <c r="C162" s="166"/>
      <c r="D162" s="166"/>
      <c r="E162" s="166"/>
      <c r="F162" s="201"/>
    </row>
    <row r="163" customHeight="1" spans="2:6">
      <c r="B163" s="176"/>
      <c r="C163" s="166"/>
      <c r="D163" s="166"/>
      <c r="E163" s="166"/>
      <c r="F163" s="201"/>
    </row>
    <row r="164" customHeight="1" spans="2:6">
      <c r="B164" s="176"/>
      <c r="C164" s="166"/>
      <c r="D164" s="166"/>
      <c r="E164" s="166"/>
      <c r="F164" s="201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3">
    <cfRule type="containsBlanks" dxfId="25" priority="1">
      <formula>LEN(TRIM(G9))=0</formula>
    </cfRule>
  </conditionalFormatting>
  <dataValidations count="1">
    <dataValidation type="list" allowBlank="1" showInputMessage="1" showErrorMessage="1" sqref="D9:D15">
      <formula1>CATEGORIA</formula1>
    </dataValidation>
  </dataValidations>
  <printOptions horizontalCentered="1" verticalCentered="1" gridLines="1"/>
  <pageMargins left="0" right="0" top="0" bottom="0" header="0.31496062992126" footer="0.31496062992126"/>
  <pageSetup paperSize="9" scale="45" fitToHeight="3" orientation="landscape"/>
  <headerFooter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1"/>
  <sheetViews>
    <sheetView zoomScale="50" zoomScaleNormal="50" topLeftCell="A3" workbookViewId="0">
      <selection activeCell="V17" sqref="V17"/>
    </sheetView>
  </sheetViews>
  <sheetFormatPr defaultColWidth="9.14285714285714" defaultRowHeight="25.5" customHeight="1"/>
  <cols>
    <col min="1" max="1" width="10.2857142857143" style="79" customWidth="1"/>
    <col min="2" max="2" width="42.5714285714286" style="122" customWidth="1"/>
    <col min="3" max="3" width="18.8571428571429" style="122" customWidth="1"/>
    <col min="4" max="4" width="13.2857142857143" style="122" customWidth="1"/>
    <col min="5" max="5" width="10.8571428571429" style="122" customWidth="1"/>
    <col min="6" max="6" width="21.4285714285714" style="122" customWidth="1"/>
    <col min="7" max="7" width="15.7142857142857" style="79" customWidth="1"/>
    <col min="8" max="8" width="15.5714285714286" style="79" customWidth="1"/>
    <col min="9" max="9" width="14" style="79" customWidth="1"/>
    <col min="10" max="10" width="11.5714285714286" style="79" customWidth="1"/>
    <col min="11" max="11" width="14.7142857142857" style="79" customWidth="1"/>
    <col min="12" max="12" width="13.2857142857143" style="79" customWidth="1"/>
    <col min="13" max="13" width="11.2857142857143" style="79" customWidth="1"/>
    <col min="14" max="14" width="16.1428571428571" style="79" customWidth="1"/>
    <col min="15" max="15" width="10.2857142857143" style="79" customWidth="1"/>
    <col min="16" max="16" width="9.57142857142857" style="79" customWidth="1"/>
    <col min="17" max="17" width="10.2857142857143" style="79" customWidth="1"/>
    <col min="18" max="18" width="9.14285714285714" style="79" customWidth="1"/>
    <col min="19" max="19" width="9.85714285714286" style="79" customWidth="1"/>
    <col min="20" max="20" width="15" style="79" customWidth="1"/>
    <col min="21" max="21" width="4.57142857142857" style="79" customWidth="1"/>
    <col min="22" max="22" width="18" style="79" customWidth="1"/>
    <col min="23" max="23" width="4" style="79" customWidth="1"/>
    <col min="24" max="24" width="18" style="79" customWidth="1"/>
    <col min="25" max="25" width="15" style="79" customWidth="1"/>
    <col min="26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50"/>
    </row>
    <row r="2" ht="9.75" customHeight="1" spans="1:25">
      <c r="A2" s="82"/>
      <c r="B2" s="82"/>
      <c r="C2" s="82"/>
      <c r="D2" s="82"/>
      <c r="E2" s="82"/>
      <c r="F2" s="193"/>
      <c r="G2" s="84">
        <f>IF(COUNTA(FEMMINE[24-mar])=0,0,COUNTA(FEMMINE[24-mar]))</f>
        <v>2</v>
      </c>
      <c r="H2" s="84">
        <f>IF(COUNTA(FEMMINE[14-apr])=0,0,COUNTA(FEMMINE[14-apr]))</f>
        <v>4</v>
      </c>
      <c r="I2" s="84">
        <f>IF(COUNTA(FEMMINE[12-mag])=0,0,COUNTA(FEMMINE[12-mag]))</f>
        <v>3</v>
      </c>
      <c r="J2" s="84">
        <f>IF(COUNTA(FEMMINE[12-giu])=0,0,COUNTA(FEMMINE[12-giu]))</f>
        <v>3</v>
      </c>
      <c r="K2" s="84">
        <f>IF(COUNTA(FEMMINE[16-giu])=0,0,COUNTA(FEMMINE[16-giu]))</f>
        <v>2</v>
      </c>
      <c r="L2" s="84">
        <f>IF(COUNTA(FEMMINE[25-giu])=0,0,COUNTA(FEMMINE[25-giu]))</f>
        <v>3</v>
      </c>
      <c r="M2" s="84">
        <f>IF(COUNTA(FEMMINE[29-ago])=0,0,COUNTA(FEMMINE[29-ago]))</f>
        <v>3</v>
      </c>
      <c r="N2" s="84">
        <f>IF(COUNTA(FEMMINE[29-set])=0,0,COUNTA(FEMMINE[29-set]))</f>
        <v>3</v>
      </c>
      <c r="O2" s="84">
        <f>IF(COUNTA(FEMMINE[data9])=0,0,COUNTA(FEMMINE[data9]))</f>
        <v>0</v>
      </c>
      <c r="P2" s="84">
        <f>IF(COUNTA(FEMMINE[data10])=0,0,COUNTA(FEMMINE[data10]))</f>
        <v>0</v>
      </c>
      <c r="Q2" s="84">
        <f>IF(COUNTA(FEMMINE[data11])=0,0,COUNTA(FEMMINE[data11]))</f>
        <v>0</v>
      </c>
      <c r="R2" s="84">
        <f>IF(COUNTA(FEMMINE[data12])=0,0,COUNTA(FEMMINE[data12]))</f>
        <v>0</v>
      </c>
      <c r="S2" s="84">
        <f>IF(COUNTA(FEMMINE[data13])=0,0,COUNTA(FEMMINE[data13]))</f>
        <v>0</v>
      </c>
      <c r="T2" s="84"/>
      <c r="U2" s="84"/>
      <c r="V2" s="84">
        <f>IF(COUNTA(FEMMINE[data13])=0,0,COUNTA(FEMMINE[data13]))</f>
        <v>0</v>
      </c>
      <c r="W2" s="83"/>
      <c r="X2" s="83"/>
      <c r="Y2" s="83"/>
    </row>
    <row r="3" ht="9.7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>IF(H2=0,0,1)</f>
        <v>1</v>
      </c>
      <c r="I3" s="84">
        <f t="shared" ref="I3:S3" si="0">IF(I2=0,0,1)</f>
        <v>1</v>
      </c>
      <c r="J3" s="84">
        <f t="shared" si="0"/>
        <v>1</v>
      </c>
      <c r="K3" s="84">
        <f t="shared" si="0"/>
        <v>1</v>
      </c>
      <c r="L3" s="84">
        <f t="shared" si="0"/>
        <v>1</v>
      </c>
      <c r="M3" s="84">
        <f t="shared" si="0"/>
        <v>1</v>
      </c>
      <c r="N3" s="84">
        <f t="shared" si="0"/>
        <v>1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8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86" t="s">
        <v>75</v>
      </c>
      <c r="B4" s="87"/>
      <c r="C4" s="87"/>
      <c r="D4" s="87"/>
      <c r="E4" s="88"/>
      <c r="F4" s="89"/>
      <c r="G4" s="90" t="s">
        <v>3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151"/>
    </row>
    <row r="5" customHeight="1" spans="1:25">
      <c r="A5" s="92"/>
      <c r="B5" s="93"/>
      <c r="C5" s="93"/>
      <c r="D5" s="93"/>
      <c r="E5" s="94"/>
      <c r="F5" s="95"/>
      <c r="G5" s="96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52"/>
    </row>
    <row r="6" customHeight="1" spans="1:31">
      <c r="A6" s="98"/>
      <c r="B6" s="194"/>
      <c r="C6" s="194"/>
      <c r="D6" s="194"/>
      <c r="E6" s="194"/>
      <c r="F6" s="193"/>
      <c r="G6" s="99" t="s">
        <v>4</v>
      </c>
      <c r="H6" s="99" t="s">
        <v>5</v>
      </c>
      <c r="I6" s="99" t="s">
        <v>6</v>
      </c>
      <c r="J6" s="99" t="s">
        <v>7</v>
      </c>
      <c r="K6" s="99" t="s">
        <v>8</v>
      </c>
      <c r="L6" s="99" t="s">
        <v>9</v>
      </c>
      <c r="M6" s="99" t="s">
        <v>10</v>
      </c>
      <c r="N6" s="99" t="s">
        <v>11</v>
      </c>
      <c r="O6" s="99" t="s">
        <v>12</v>
      </c>
      <c r="P6" s="99" t="s">
        <v>13</v>
      </c>
      <c r="Q6" s="99" t="s">
        <v>14</v>
      </c>
      <c r="R6" s="99" t="s">
        <v>15</v>
      </c>
      <c r="S6" s="126" t="s">
        <v>16</v>
      </c>
      <c r="T6" s="127"/>
      <c r="U6" s="128"/>
      <c r="V6" s="129" t="s">
        <v>17</v>
      </c>
      <c r="W6" s="128"/>
      <c r="X6" s="130" t="s">
        <v>18</v>
      </c>
      <c r="Y6" s="153" t="s">
        <v>19</v>
      </c>
      <c r="Z6" s="154"/>
      <c r="AA6" s="154"/>
      <c r="AB6" s="154"/>
      <c r="AC6" s="154"/>
      <c r="AD6" s="154"/>
      <c r="AE6" s="154"/>
    </row>
    <row r="7" s="78" customFormat="1" customHeight="1" spans="1:25">
      <c r="A7" s="98"/>
      <c r="B7" s="194"/>
      <c r="C7" s="194"/>
      <c r="D7" s="194"/>
      <c r="E7" s="194"/>
      <c r="F7" s="193"/>
      <c r="G7" s="101" t="s">
        <v>20</v>
      </c>
      <c r="H7" s="101" t="s">
        <v>21</v>
      </c>
      <c r="I7" s="101" t="s">
        <v>22</v>
      </c>
      <c r="J7" s="101" t="s">
        <v>23</v>
      </c>
      <c r="K7" s="100" t="s">
        <v>24</v>
      </c>
      <c r="L7" s="101" t="s">
        <v>25</v>
      </c>
      <c r="M7" s="101" t="s">
        <v>23</v>
      </c>
      <c r="N7" s="101" t="s">
        <v>20</v>
      </c>
      <c r="O7" s="101" t="s">
        <v>26</v>
      </c>
      <c r="P7" s="101" t="s">
        <v>26</v>
      </c>
      <c r="Q7" s="101" t="s">
        <v>26</v>
      </c>
      <c r="R7" s="101" t="s">
        <v>26</v>
      </c>
      <c r="S7" s="131" t="s">
        <v>26</v>
      </c>
      <c r="T7" s="132"/>
      <c r="U7" s="133"/>
      <c r="V7" s="134"/>
      <c r="W7" s="133"/>
      <c r="X7" s="130"/>
      <c r="Y7" s="153"/>
    </row>
    <row r="8" customHeight="1" spans="1:26">
      <c r="A8" s="102" t="s">
        <v>27</v>
      </c>
      <c r="B8" s="103" t="s">
        <v>28</v>
      </c>
      <c r="C8" s="104" t="s">
        <v>29</v>
      </c>
      <c r="D8" s="104" t="s">
        <v>30</v>
      </c>
      <c r="E8" s="105" t="s">
        <v>31</v>
      </c>
      <c r="F8" s="104" t="s">
        <v>26</v>
      </c>
      <c r="G8" s="281" t="s">
        <v>32</v>
      </c>
      <c r="H8" s="281" t="s">
        <v>33</v>
      </c>
      <c r="I8" s="281" t="s">
        <v>34</v>
      </c>
      <c r="J8" s="281" t="s">
        <v>35</v>
      </c>
      <c r="K8" s="281" t="s">
        <v>36</v>
      </c>
      <c r="L8" s="281" t="s">
        <v>37</v>
      </c>
      <c r="M8" s="281" t="s">
        <v>38</v>
      </c>
      <c r="N8" s="281" t="s">
        <v>39</v>
      </c>
      <c r="O8" s="281" t="s">
        <v>40</v>
      </c>
      <c r="P8" s="281" t="s">
        <v>41</v>
      </c>
      <c r="Q8" s="281" t="s">
        <v>42</v>
      </c>
      <c r="R8" s="281" t="s">
        <v>43</v>
      </c>
      <c r="S8" s="282" t="s">
        <v>44</v>
      </c>
      <c r="T8" s="54" t="s">
        <v>45</v>
      </c>
      <c r="U8" s="136" t="s">
        <v>46</v>
      </c>
      <c r="V8" s="280" t="s">
        <v>47</v>
      </c>
      <c r="W8" s="138" t="s">
        <v>48</v>
      </c>
      <c r="X8" s="139" t="s">
        <v>49</v>
      </c>
      <c r="Y8" s="155" t="s">
        <v>50</v>
      </c>
      <c r="Z8" s="156"/>
    </row>
    <row r="9" customHeight="1" spans="1:26">
      <c r="A9" s="107">
        <f>IF(A8="Elenco",1,IF(B9="","",A8+1))</f>
        <v>1</v>
      </c>
      <c r="B9" s="195" t="s">
        <v>76</v>
      </c>
      <c r="C9" s="109">
        <v>2010</v>
      </c>
      <c r="D9" s="109" t="s">
        <v>52</v>
      </c>
      <c r="E9" s="110">
        <f>IF(COUNTA(G9:S9)+COUNTA(V9:V9)=0,"",COUNTA(G9:S9)+COUNTA(V9:V9))</f>
        <v>8</v>
      </c>
      <c r="F9" s="111" t="s">
        <v>24</v>
      </c>
      <c r="G9" s="196"/>
      <c r="H9" s="196">
        <v>2</v>
      </c>
      <c r="I9" s="196">
        <v>1</v>
      </c>
      <c r="J9" s="196">
        <v>1</v>
      </c>
      <c r="K9" s="196">
        <v>1</v>
      </c>
      <c r="L9" s="196">
        <v>3</v>
      </c>
      <c r="M9" s="196">
        <v>2</v>
      </c>
      <c r="N9" s="196">
        <v>3</v>
      </c>
      <c r="O9" s="196"/>
      <c r="P9" s="196"/>
      <c r="Q9" s="196"/>
      <c r="R9" s="196"/>
      <c r="S9" s="196"/>
      <c r="T9" s="203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609</v>
      </c>
      <c r="U9" s="204">
        <f>AVERAGE(FEMMINE[[#This Row],[24-mar]:[data13]])</f>
        <v>1.85714285714286</v>
      </c>
      <c r="V9" s="205">
        <v>1</v>
      </c>
      <c r="W9" s="206"/>
      <c r="X9" s="207">
        <f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f>
        <v>751.5</v>
      </c>
      <c r="Y9" s="210">
        <f>IFERROR(IF(E9=0,"",X9/E9),"")</f>
        <v>93.9375</v>
      </c>
      <c r="Z9" s="156"/>
    </row>
    <row r="10" customHeight="1" spans="1:26">
      <c r="A10" s="107">
        <f>IF(A9="Elenco",1,IF(B10="","",A9+1))</f>
        <v>2</v>
      </c>
      <c r="B10" s="195" t="s">
        <v>77</v>
      </c>
      <c r="C10" s="109">
        <v>2011</v>
      </c>
      <c r="D10" s="109" t="s">
        <v>52</v>
      </c>
      <c r="E10" s="110">
        <f>IF(COUNTA(G10:S10)+COUNTA(V10:V10)=0,"",COUNTA(G10:S10)+COUNTA(V10:V10))</f>
        <v>7</v>
      </c>
      <c r="F10" s="197" t="s">
        <v>65</v>
      </c>
      <c r="G10" s="112">
        <v>3</v>
      </c>
      <c r="H10" s="198">
        <v>3</v>
      </c>
      <c r="I10" s="198">
        <v>3</v>
      </c>
      <c r="J10" s="112">
        <v>1</v>
      </c>
      <c r="K10" s="112"/>
      <c r="L10" s="112">
        <v>1</v>
      </c>
      <c r="M10" s="112"/>
      <c r="N10" s="112">
        <v>4</v>
      </c>
      <c r="O10" s="112"/>
      <c r="P10" s="112"/>
      <c r="Q10" s="112"/>
      <c r="R10" s="112"/>
      <c r="S10" s="112"/>
      <c r="T10" s="208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491</v>
      </c>
      <c r="U10" s="141">
        <f>AVERAGE(FEMMINE[[#This Row],[24-mar]:[data13]])</f>
        <v>2.5</v>
      </c>
      <c r="V10" s="142">
        <v>4</v>
      </c>
      <c r="W10" s="143"/>
      <c r="X10" s="144">
        <f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f>
        <v>596</v>
      </c>
      <c r="Y10" s="157">
        <f>IFERROR(IF(E10=0,"",X10/E10),"")</f>
        <v>85.1428571428571</v>
      </c>
      <c r="Z10" s="156"/>
    </row>
    <row r="11" customHeight="1" spans="1:26">
      <c r="A11" s="107">
        <f>IF(A10="Elenco",1,IF(B11="","",A10+1))</f>
        <v>3</v>
      </c>
      <c r="B11" s="195" t="s">
        <v>78</v>
      </c>
      <c r="C11" s="109">
        <v>2011</v>
      </c>
      <c r="D11" s="109" t="s">
        <v>52</v>
      </c>
      <c r="E11" s="110">
        <f>IF(COUNTA(G11:S11)+COUNTA(V11:V11)=0,"",COUNTA(G11:S11)+COUNTA(V11:V11))</f>
        <v>5</v>
      </c>
      <c r="F11" s="197" t="s">
        <v>22</v>
      </c>
      <c r="G11" s="196"/>
      <c r="H11" s="199">
        <v>1</v>
      </c>
      <c r="I11" s="199">
        <v>2</v>
      </c>
      <c r="J11" s="196"/>
      <c r="K11" s="196">
        <v>2</v>
      </c>
      <c r="L11" s="196"/>
      <c r="M11" s="196"/>
      <c r="N11" s="196">
        <v>1</v>
      </c>
      <c r="O11" s="196"/>
      <c r="P11" s="196"/>
      <c r="Q11" s="196"/>
      <c r="R11" s="196"/>
      <c r="S11" s="196"/>
      <c r="T11" s="209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360</v>
      </c>
      <c r="U11" s="204">
        <f>AVERAGE(FEMMINE[[#This Row],[24-mar]:[data13]])</f>
        <v>1.5</v>
      </c>
      <c r="V11" s="205">
        <v>1</v>
      </c>
      <c r="W11" s="206"/>
      <c r="X11" s="207">
        <f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f>
        <v>502.5</v>
      </c>
      <c r="Y11" s="210">
        <f>IFERROR(IF(E11=0,"",X11/E11),"")</f>
        <v>100.5</v>
      </c>
      <c r="Z11" s="156"/>
    </row>
    <row r="12" customHeight="1" spans="1:26">
      <c r="A12" s="107">
        <f>IF(A11="Elenco",1,IF(B12="","",A11+1))</f>
        <v>4</v>
      </c>
      <c r="B12" s="195" t="s">
        <v>79</v>
      </c>
      <c r="C12" s="109">
        <v>2010</v>
      </c>
      <c r="D12" s="109"/>
      <c r="E12" s="110">
        <f>IF(COUNTA(G12:S12)+COUNTA(V12:V12)=0,"",COUNTA(G12:S12)+COUNTA(V12:V12))</f>
        <v>4</v>
      </c>
      <c r="F12" s="111" t="s">
        <v>65</v>
      </c>
      <c r="G12" s="196"/>
      <c r="H12" s="196">
        <v>4</v>
      </c>
      <c r="I12" s="202"/>
      <c r="J12" s="196"/>
      <c r="K12" s="196"/>
      <c r="L12" s="196">
        <v>1</v>
      </c>
      <c r="M12" s="196">
        <v>3</v>
      </c>
      <c r="N12" s="196"/>
      <c r="O12" s="196"/>
      <c r="P12" s="196"/>
      <c r="Q12" s="196"/>
      <c r="R12" s="196"/>
      <c r="S12" s="196"/>
      <c r="T12" s="209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242</v>
      </c>
      <c r="U12" s="204">
        <f>AVERAGE(FEMMINE[[#This Row],[24-mar]:[data13]])</f>
        <v>2.66666666666667</v>
      </c>
      <c r="V12" s="205">
        <v>3</v>
      </c>
      <c r="W12" s="206"/>
      <c r="X12" s="207">
        <f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f>
        <v>357.5</v>
      </c>
      <c r="Y12" s="210">
        <f>IFERROR(IF(E12=0,"",X12/E12),"")</f>
        <v>89.375</v>
      </c>
      <c r="Z12" s="156"/>
    </row>
    <row r="13" customHeight="1" spans="1:26">
      <c r="A13" s="107">
        <f>IF(A12="Elenco",1,IF(B13="","",A12+1))</f>
        <v>5</v>
      </c>
      <c r="B13" s="108" t="s">
        <v>80</v>
      </c>
      <c r="C13" s="200">
        <v>2011</v>
      </c>
      <c r="D13" s="200" t="s">
        <v>52</v>
      </c>
      <c r="E13" s="110">
        <f>IF(COUNTA(G13:S13)+COUNTA(V13:V13)=0,"",COUNTA(G13:S13)+COUNTA(V13:V13))</f>
        <v>3</v>
      </c>
      <c r="F13" s="197" t="s">
        <v>23</v>
      </c>
      <c r="G13" s="112">
        <v>1</v>
      </c>
      <c r="H13" s="198"/>
      <c r="I13" s="112"/>
      <c r="J13" s="112">
        <v>3</v>
      </c>
      <c r="K13" s="112"/>
      <c r="L13" s="112"/>
      <c r="M13" s="112">
        <v>1</v>
      </c>
      <c r="N13" s="112"/>
      <c r="O13" s="112"/>
      <c r="P13" s="112"/>
      <c r="Q13" s="112"/>
      <c r="R13" s="112"/>
      <c r="S13" s="112"/>
      <c r="T13" s="208">
        <f>IF(IF(FEMMINE[[#This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Row],[data13]],Tabella4[1],Tabella4[100]),0)=0,"",IF(FEMMINE[[#This Row],[24-mar]]&lt;&gt;0,LOOKUP(FEMMINE[[#This Row],[24-mar]],Tabella4[1],Tabella4[100]),0)+IF(FEMMINE[[#This Row],[14-apr]]&lt;&gt;0,LOOKUP(FEMMINE[[#This Row],[14-apr]],Tabella4[1],Tabella4[100]),0)+IF(FEMMINE[[#This Row],[12-mag]]&lt;&gt;0,LOOKUP(FEMMINE[[#This Row],[12-mag]],Tabella4[1],Tabella4[100]),0)+IF(FEMMINE[[#This Row],[12-giu]]&lt;&gt;0,LOOKUP(FEMMINE[[#This Row],[12-giu]],Tabella4[1],Tabella4[100]),0)+IF(FEMMINE[[#This Row],[16-giu]]&lt;&gt;0,LOOKUP(FEMMINE[[#This Row],[16-giu]],Tabella4[1],Tabella4[100]),0)+IF(FEMMINE[[#This Row],[25-giu]]&lt;&gt;0,LOOKUP(FEMMINE[[#This Row],[25-giu]],Tabella4[1],Tabella4[100]),0)+IF(FEMMINE[[#This Row],[29-ago]]&lt;&gt;0,LOOKUP(FEMMINE[[#This Row],[29-ago]],Tabella4[1],Tabella4[100]),0)+IF(FEMMINE[[#This Row],[29-set]]&lt;&gt;0,LOOKUP(FEMMINE[[#This Row],[29-set]],Tabella4[1],Tabella4[100]),0)+IF(FEMMINE[[#This Row],[data9]]&lt;&gt;0,LOOKUP(FEMMINE[[#This Row],[data9]],Tabella4[1],Tabella4[100]),0)+IF(FEMMINE[[#This Row],[data10]]&lt;&gt;0,LOOKUP(FEMMINE[[#This Row],[data10]],Tabella4[1],Tabella4[100]),0)+IF(FEMMINE[[#This Row],[data11]]&lt;&gt;0,LOOKUP(FEMMINE[[#This Row],[data11]],Tabella4[1],Tabella4[100]),0)+IF(FEMMINE[[#This Row],[data12]]&lt;&gt;0,LOOKUP(FEMMINE[[#This Row],[data12]],Tabella4[1],Tabella4[100]),0)+IF(FEMMINE[[#This Row],[data13]]&lt;&gt;0,LOOKUP(FEMMINE[[#This Row],[data13]],Tabella4[1],Tabella4[100]),0))</f>
        <v>267</v>
      </c>
      <c r="U13" s="141">
        <f>AVERAGE(FEMMINE[[#This Row],[24-mar]:[data13]])</f>
        <v>1.66666666666667</v>
      </c>
      <c r="V13" s="142"/>
      <c r="W13" s="143"/>
      <c r="X13" s="144">
        <f>IFERROR(IF(FEMMINE[[#This Row],[TOTALE]]+(IF(FEMMINE[[#This Row],[27-ott]]="",0,LOOKUP(FEMMINE[[#This Row],[27-ott]],Tabella4[1],Tabella4[100])))=0,"",(FEMMINE[[#This Row],[TOTALE]]+(IF(FEMMINE[[#This Row],[27-ott]]="",0,(LOOKUP(FEMMINE[[#This Row],[27-ott]],Tabella4[1],Tabella4[100])*1.5))))),"")</f>
        <v>267</v>
      </c>
      <c r="Y13" s="157">
        <f>IFERROR(IF(E13=0,"",X13/E13),"")</f>
        <v>89</v>
      </c>
      <c r="Z13" s="156"/>
    </row>
    <row r="14" customHeight="1" spans="26:26">
      <c r="Z14" s="156"/>
    </row>
    <row r="17" customHeight="1" spans="1:1">
      <c r="A17" s="162" t="s">
        <v>74</v>
      </c>
    </row>
    <row r="21" customHeight="1" spans="1:6">
      <c r="A21" s="120"/>
      <c r="B21" s="121"/>
      <c r="F21" s="201"/>
    </row>
    <row r="22" customHeight="1" spans="1:6">
      <c r="A22" s="120"/>
      <c r="B22" s="121"/>
      <c r="F22" s="201"/>
    </row>
    <row r="23" customHeight="1" spans="1:2">
      <c r="A23" s="120"/>
      <c r="B23" s="121"/>
    </row>
    <row r="24" customHeight="1" spans="1:2">
      <c r="A24" s="120"/>
      <c r="B24" s="121"/>
    </row>
    <row r="25" customHeight="1" spans="1:2">
      <c r="A25" s="120"/>
      <c r="B25" s="121"/>
    </row>
    <row r="26" customHeight="1" spans="1:2">
      <c r="A26" s="120"/>
      <c r="B26" s="121"/>
    </row>
    <row r="27" customHeight="1" spans="1:2">
      <c r="A27" s="120"/>
      <c r="B27" s="121"/>
    </row>
    <row r="28" customHeight="1" spans="1:2">
      <c r="A28" s="120"/>
      <c r="B28" s="121"/>
    </row>
    <row r="29" customHeight="1" spans="1:2">
      <c r="A29" s="120"/>
      <c r="B29" s="121"/>
    </row>
    <row r="30" customHeight="1" spans="1:2">
      <c r="A30" s="120"/>
      <c r="B30" s="121"/>
    </row>
    <row r="31" customHeight="1" spans="1:2">
      <c r="A31" s="120"/>
      <c r="B31" s="121"/>
    </row>
    <row r="32" customHeight="1" spans="1:2">
      <c r="A32" s="120"/>
      <c r="B32" s="121"/>
    </row>
    <row r="33" customHeight="1" spans="1:2">
      <c r="A33" s="120"/>
      <c r="B33" s="121"/>
    </row>
    <row r="34" customHeight="1" spans="1:2">
      <c r="A34" s="120"/>
      <c r="B34" s="121"/>
    </row>
    <row r="35" customHeight="1" spans="1:2">
      <c r="A35" s="120"/>
      <c r="B35" s="121"/>
    </row>
    <row r="36" customHeight="1" spans="1:2">
      <c r="A36" s="120"/>
      <c r="B36" s="121"/>
    </row>
    <row r="37" customHeight="1" spans="1:2">
      <c r="A37" s="120"/>
      <c r="B37" s="121"/>
    </row>
    <row r="38" customHeight="1" spans="1:2">
      <c r="A38" s="120"/>
      <c r="B38" s="121"/>
    </row>
    <row r="39" customHeight="1" spans="1:2">
      <c r="A39" s="120"/>
      <c r="B39" s="121"/>
    </row>
    <row r="40" customHeight="1" spans="1:2">
      <c r="A40" s="120"/>
      <c r="B40" s="121"/>
    </row>
    <row r="41" customHeight="1" spans="1:2">
      <c r="A41" s="120"/>
      <c r="B41" s="121"/>
    </row>
    <row r="42" customHeight="1" spans="1:2">
      <c r="A42" s="120"/>
      <c r="B42" s="121"/>
    </row>
    <row r="43" customHeight="1" spans="1:2">
      <c r="A43" s="120"/>
      <c r="B43" s="121"/>
    </row>
    <row r="44" customHeight="1" spans="1:2">
      <c r="A44" s="120"/>
      <c r="B44" s="121"/>
    </row>
    <row r="45" customHeight="1" spans="1:2">
      <c r="A45" s="120"/>
      <c r="B45" s="121"/>
    </row>
    <row r="46" customHeight="1" spans="1:6">
      <c r="A46" s="120"/>
      <c r="B46" s="121"/>
      <c r="F46" s="201"/>
    </row>
    <row r="47" customHeight="1" spans="1:6">
      <c r="A47" s="120"/>
      <c r="B47" s="121"/>
      <c r="F47" s="201"/>
    </row>
    <row r="48" customHeight="1" spans="1:6">
      <c r="A48" s="120"/>
      <c r="B48" s="121"/>
      <c r="F48" s="201"/>
    </row>
    <row r="49" customHeight="1" spans="1:6">
      <c r="A49" s="120"/>
      <c r="B49" s="121"/>
      <c r="F49" s="201"/>
    </row>
    <row r="50" customHeight="1" spans="1:6">
      <c r="A50" s="120"/>
      <c r="B50" s="121"/>
      <c r="F50" s="201"/>
    </row>
    <row r="51" customHeight="1" spans="1:6">
      <c r="A51" s="120"/>
      <c r="B51" s="121"/>
      <c r="F51" s="201"/>
    </row>
    <row r="52" customHeight="1" spans="1:6">
      <c r="A52" s="120"/>
      <c r="B52" s="121"/>
      <c r="F52" s="201"/>
    </row>
    <row r="53" customHeight="1" spans="1:6">
      <c r="A53" s="120"/>
      <c r="B53" s="121"/>
      <c r="F53" s="201"/>
    </row>
    <row r="54" customHeight="1" spans="1:6">
      <c r="A54" s="120"/>
      <c r="B54" s="121"/>
      <c r="F54" s="201"/>
    </row>
    <row r="55" customHeight="1" spans="1:6">
      <c r="A55" s="120"/>
      <c r="B55" s="121"/>
      <c r="F55" s="201"/>
    </row>
    <row r="56" customHeight="1" spans="1:6">
      <c r="A56" s="120"/>
      <c r="B56" s="121"/>
      <c r="F56" s="201"/>
    </row>
    <row r="57" customHeight="1" spans="1:6">
      <c r="A57" s="120"/>
      <c r="B57" s="121"/>
      <c r="F57" s="201"/>
    </row>
    <row r="58" customHeight="1" spans="1:6">
      <c r="A58" s="120"/>
      <c r="B58" s="121"/>
      <c r="F58" s="201"/>
    </row>
    <row r="59" customHeight="1" spans="1:6">
      <c r="A59" s="120"/>
      <c r="B59" s="121"/>
      <c r="F59" s="201"/>
    </row>
    <row r="60" customHeight="1" spans="1:6">
      <c r="A60" s="120"/>
      <c r="B60" s="121"/>
      <c r="F60" s="201"/>
    </row>
    <row r="61" customHeight="1" spans="1:6">
      <c r="A61" s="120"/>
      <c r="B61" s="121"/>
      <c r="F61" s="201"/>
    </row>
    <row r="62" customHeight="1" spans="1:6">
      <c r="A62" s="120"/>
      <c r="B62" s="121"/>
      <c r="F62" s="201"/>
    </row>
    <row r="63" customHeight="1" spans="1:6">
      <c r="A63" s="120"/>
      <c r="B63" s="121"/>
      <c r="F63" s="201"/>
    </row>
    <row r="64" customHeight="1" spans="1:6">
      <c r="A64" s="120"/>
      <c r="B64" s="121"/>
      <c r="F64" s="201"/>
    </row>
    <row r="65" customHeight="1" spans="1:6">
      <c r="A65" s="120"/>
      <c r="B65" s="121"/>
      <c r="F65" s="201"/>
    </row>
    <row r="66" customHeight="1" spans="1:6">
      <c r="A66" s="120"/>
      <c r="B66" s="121"/>
      <c r="F66" s="201"/>
    </row>
    <row r="67" customHeight="1" spans="1:6">
      <c r="A67" s="120"/>
      <c r="B67" s="121"/>
      <c r="F67" s="201"/>
    </row>
    <row r="68" customHeight="1" spans="1:6">
      <c r="A68" s="120"/>
      <c r="B68" s="121"/>
      <c r="F68" s="201"/>
    </row>
    <row r="69" customHeight="1" spans="1:6">
      <c r="A69" s="120"/>
      <c r="B69" s="121"/>
      <c r="F69" s="201"/>
    </row>
    <row r="70" customHeight="1" spans="1:6">
      <c r="A70" s="120"/>
      <c r="B70" s="121"/>
      <c r="F70" s="201"/>
    </row>
    <row r="71" customHeight="1" spans="1:6">
      <c r="A71" s="120"/>
      <c r="B71" s="121"/>
      <c r="F71" s="201"/>
    </row>
    <row r="72" customHeight="1" spans="1:6">
      <c r="A72" s="120"/>
      <c r="B72" s="121"/>
      <c r="F72" s="201"/>
    </row>
    <row r="73" customHeight="1" spans="1:6">
      <c r="A73" s="120"/>
      <c r="B73" s="121"/>
      <c r="F73" s="201"/>
    </row>
    <row r="74" customHeight="1" spans="1:6">
      <c r="A74" s="120"/>
      <c r="B74" s="121"/>
      <c r="F74" s="201"/>
    </row>
    <row r="75" customHeight="1" spans="1:6">
      <c r="A75" s="120"/>
      <c r="B75" s="121"/>
      <c r="F75" s="201"/>
    </row>
    <row r="76" customHeight="1" spans="1:6">
      <c r="A76" s="120"/>
      <c r="B76" s="121"/>
      <c r="F76" s="201"/>
    </row>
    <row r="77" customHeight="1" spans="1:6">
      <c r="A77" s="120"/>
      <c r="B77" s="121"/>
      <c r="F77" s="201"/>
    </row>
    <row r="78" customHeight="1" spans="1:6">
      <c r="A78" s="120"/>
      <c r="B78" s="121"/>
      <c r="F78" s="201"/>
    </row>
    <row r="79" customHeight="1" spans="1:6">
      <c r="A79" s="120"/>
      <c r="B79" s="121"/>
      <c r="F79" s="201"/>
    </row>
    <row r="80" customHeight="1" spans="1:6">
      <c r="A80" s="120"/>
      <c r="B80" s="121"/>
      <c r="F80" s="201"/>
    </row>
    <row r="81" customHeight="1" spans="1:6">
      <c r="A81" s="120"/>
      <c r="B81" s="121"/>
      <c r="F81" s="201"/>
    </row>
    <row r="82" customHeight="1" spans="1:6">
      <c r="A82" s="120"/>
      <c r="B82" s="121"/>
      <c r="F82" s="201"/>
    </row>
    <row r="83" customHeight="1" spans="1:6">
      <c r="A83" s="120"/>
      <c r="B83" s="121"/>
      <c r="F83" s="201"/>
    </row>
    <row r="84" customHeight="1" spans="1:6">
      <c r="A84" s="120"/>
      <c r="B84" s="121"/>
      <c r="F84" s="201"/>
    </row>
    <row r="85" customHeight="1" spans="1:6">
      <c r="A85" s="120"/>
      <c r="B85" s="121"/>
      <c r="F85" s="201"/>
    </row>
    <row r="86" customHeight="1" spans="1:6">
      <c r="A86" s="120"/>
      <c r="B86" s="121"/>
      <c r="F86" s="201"/>
    </row>
    <row r="87" customHeight="1" spans="1:6">
      <c r="A87" s="120"/>
      <c r="B87" s="121"/>
      <c r="F87" s="201"/>
    </row>
    <row r="88" customHeight="1" spans="1:6">
      <c r="A88" s="120"/>
      <c r="B88" s="121"/>
      <c r="F88" s="201"/>
    </row>
    <row r="89" customHeight="1" spans="1:6">
      <c r="A89" s="120"/>
      <c r="B89" s="121"/>
      <c r="F89" s="201"/>
    </row>
    <row r="90" customHeight="1" spans="1:6">
      <c r="A90" s="120"/>
      <c r="B90" s="121"/>
      <c r="F90" s="201"/>
    </row>
    <row r="91" customHeight="1" spans="1:20">
      <c r="A91" s="120"/>
      <c r="F91" s="211"/>
      <c r="G91" s="32"/>
      <c r="H91" s="32"/>
      <c r="I91" s="32"/>
      <c r="J91" s="32"/>
      <c r="K91" s="174"/>
      <c r="L91" s="174"/>
      <c r="M91" s="174"/>
      <c r="N91" s="174"/>
      <c r="O91" s="174"/>
      <c r="P91" s="174"/>
      <c r="Q91" s="174"/>
      <c r="R91" s="174"/>
      <c r="S91" s="32"/>
      <c r="T91" s="175"/>
    </row>
    <row r="92" customHeight="1" spans="1:22">
      <c r="A92" s="120"/>
      <c r="F92" s="211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V92" s="160"/>
    </row>
    <row r="93" customHeight="1" spans="1:22">
      <c r="A93" s="120"/>
      <c r="F93" s="211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V93" s="160"/>
    </row>
    <row r="94" customHeight="1" spans="1:22">
      <c r="A94" s="120"/>
      <c r="F94" s="211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75"/>
      <c r="V94" s="174"/>
    </row>
    <row r="95" customHeight="1" spans="1:22">
      <c r="A95" s="120"/>
      <c r="V95" s="32"/>
    </row>
    <row r="96" customHeight="1" spans="1:1">
      <c r="A96" s="120"/>
    </row>
    <row r="97" customHeight="1" spans="1:5">
      <c r="A97" s="120"/>
      <c r="B97" s="161"/>
      <c r="E97" s="212"/>
    </row>
    <row r="98" customHeight="1" spans="1:6">
      <c r="A98" s="120"/>
      <c r="B98" s="164"/>
      <c r="C98" s="165"/>
      <c r="D98" s="165"/>
      <c r="E98" s="166"/>
      <c r="F98" s="213"/>
    </row>
    <row r="99" customHeight="1" spans="1:6">
      <c r="A99" s="120"/>
      <c r="B99" s="214"/>
      <c r="C99" s="169"/>
      <c r="D99" s="169"/>
      <c r="E99" s="170"/>
      <c r="F99" s="171"/>
    </row>
    <row r="100" customHeight="1" spans="1:1">
      <c r="A100" s="120"/>
    </row>
    <row r="101" customHeight="1" spans="1:1">
      <c r="A101" s="120"/>
    </row>
    <row r="102" customHeight="1" spans="1:1">
      <c r="A102" s="120"/>
    </row>
    <row r="103" customHeight="1" spans="1:1">
      <c r="A103" s="120"/>
    </row>
    <row r="104" customHeight="1" spans="1:6">
      <c r="A104" s="172"/>
      <c r="B104" s="214"/>
      <c r="E104" s="166"/>
      <c r="F104" s="214"/>
    </row>
    <row r="105" customHeight="1" spans="1:6">
      <c r="A105" s="172"/>
      <c r="B105" s="214"/>
      <c r="E105" s="166"/>
      <c r="F105" s="214"/>
    </row>
    <row r="106" customHeight="1" spans="1:6">
      <c r="A106" s="172"/>
      <c r="B106" s="214"/>
      <c r="E106" s="166"/>
      <c r="F106" s="214"/>
    </row>
    <row r="107" customHeight="1" spans="1:6">
      <c r="A107" s="172"/>
      <c r="B107" s="214"/>
      <c r="E107" s="166"/>
      <c r="F107" s="214"/>
    </row>
    <row r="108" customHeight="1" spans="1:6">
      <c r="A108" s="172"/>
      <c r="B108" s="214"/>
      <c r="E108" s="166"/>
      <c r="F108" s="214"/>
    </row>
    <row r="109" customHeight="1" spans="1:6">
      <c r="A109" s="172"/>
      <c r="B109" s="214"/>
      <c r="E109" s="166"/>
      <c r="F109" s="214"/>
    </row>
    <row r="110" customHeight="1" spans="1:6">
      <c r="A110" s="172"/>
      <c r="B110" s="214"/>
      <c r="E110" s="166"/>
      <c r="F110" s="214"/>
    </row>
    <row r="111" customHeight="1" spans="1:6">
      <c r="A111" s="172"/>
      <c r="B111" s="214"/>
      <c r="E111" s="166"/>
      <c r="F111" s="214"/>
    </row>
    <row r="112" customHeight="1" spans="1:6">
      <c r="A112" s="172"/>
      <c r="B112" s="214"/>
      <c r="E112" s="166"/>
      <c r="F112" s="214"/>
    </row>
    <row r="113" customHeight="1" spans="1:6">
      <c r="A113" s="172"/>
      <c r="B113" s="214"/>
      <c r="E113" s="166"/>
      <c r="F113" s="214"/>
    </row>
    <row r="114" customHeight="1" spans="1:6">
      <c r="A114" s="172"/>
      <c r="B114" s="214"/>
      <c r="E114" s="166"/>
      <c r="F114" s="214"/>
    </row>
    <row r="115" customHeight="1" spans="1:6">
      <c r="A115" s="172"/>
      <c r="B115" s="214"/>
      <c r="E115" s="166"/>
      <c r="F115" s="214"/>
    </row>
    <row r="116" customHeight="1" spans="1:6">
      <c r="A116" s="172"/>
      <c r="B116" s="214"/>
      <c r="E116" s="166"/>
      <c r="F116" s="214"/>
    </row>
    <row r="117" customHeight="1" spans="1:6">
      <c r="A117" s="172"/>
      <c r="B117" s="214"/>
      <c r="E117" s="166"/>
      <c r="F117" s="214"/>
    </row>
    <row r="118" customHeight="1" spans="1:6">
      <c r="A118" s="172"/>
      <c r="B118" s="214"/>
      <c r="E118" s="166"/>
      <c r="F118" s="214"/>
    </row>
    <row r="119" customHeight="1" spans="1:6">
      <c r="A119" s="172"/>
      <c r="B119" s="214"/>
      <c r="E119" s="166"/>
      <c r="F119" s="214"/>
    </row>
    <row r="120" customHeight="1" spans="1:6">
      <c r="A120" s="172"/>
      <c r="B120" s="214"/>
      <c r="E120" s="166"/>
      <c r="F120" s="214"/>
    </row>
    <row r="121" customHeight="1" spans="1:6">
      <c r="A121" s="172"/>
      <c r="B121" s="214"/>
      <c r="E121" s="166"/>
      <c r="F121" s="214"/>
    </row>
    <row r="122" customHeight="1" spans="1:6">
      <c r="A122" s="172"/>
      <c r="B122" s="214"/>
      <c r="E122" s="166"/>
      <c r="F122" s="214"/>
    </row>
    <row r="123" customHeight="1" spans="1:6">
      <c r="A123" s="172"/>
      <c r="B123" s="214"/>
      <c r="E123" s="166"/>
      <c r="F123" s="214"/>
    </row>
    <row r="124" customHeight="1" spans="1:6">
      <c r="A124" s="172"/>
      <c r="B124" s="214"/>
      <c r="E124" s="166"/>
      <c r="F124" s="214"/>
    </row>
    <row r="125" customHeight="1" spans="1:6">
      <c r="A125" s="172"/>
      <c r="B125" s="214"/>
      <c r="E125" s="166"/>
      <c r="F125" s="214"/>
    </row>
    <row r="126" customHeight="1" spans="1:6">
      <c r="A126" s="172"/>
      <c r="B126" s="214"/>
      <c r="E126" s="166"/>
      <c r="F126" s="214"/>
    </row>
    <row r="127" customHeight="1" spans="1:6">
      <c r="A127" s="172"/>
      <c r="B127" s="214"/>
      <c r="E127" s="166"/>
      <c r="F127" s="214"/>
    </row>
    <row r="128" customHeight="1" spans="1:6">
      <c r="A128" s="172"/>
      <c r="B128" s="214"/>
      <c r="E128" s="166"/>
      <c r="F128" s="214"/>
    </row>
    <row r="129" customHeight="1" spans="1:6">
      <c r="A129" s="172"/>
      <c r="B129" s="214"/>
      <c r="E129" s="166"/>
      <c r="F129" s="214"/>
    </row>
    <row r="130" customHeight="1" spans="1:6">
      <c r="A130" s="172"/>
      <c r="B130" s="214"/>
      <c r="E130" s="166"/>
      <c r="F130" s="214"/>
    </row>
    <row r="131" customHeight="1" spans="1:6">
      <c r="A131" s="172"/>
      <c r="B131" s="214"/>
      <c r="E131" s="166"/>
      <c r="F131" s="214"/>
    </row>
    <row r="132" customHeight="1" spans="1:6">
      <c r="A132" s="172"/>
      <c r="B132" s="214"/>
      <c r="E132" s="166"/>
      <c r="F132" s="214"/>
    </row>
    <row r="133" customHeight="1" spans="1:6">
      <c r="A133" s="172"/>
      <c r="B133" s="214"/>
      <c r="E133" s="166"/>
      <c r="F133" s="214"/>
    </row>
    <row r="134" customHeight="1" spans="1:6">
      <c r="A134" s="172"/>
      <c r="B134" s="214"/>
      <c r="E134" s="166"/>
      <c r="F134" s="214"/>
    </row>
    <row r="135" customHeight="1" spans="1:6">
      <c r="A135" s="172"/>
      <c r="B135" s="214"/>
      <c r="E135" s="166"/>
      <c r="F135" s="214"/>
    </row>
    <row r="136" customHeight="1" spans="1:6">
      <c r="A136" s="172"/>
      <c r="B136" s="214"/>
      <c r="E136" s="166"/>
      <c r="F136" s="214"/>
    </row>
    <row r="137" customHeight="1" spans="1:6">
      <c r="A137" s="172"/>
      <c r="B137" s="214"/>
      <c r="E137" s="166"/>
      <c r="F137" s="214"/>
    </row>
    <row r="138" customHeight="1" spans="1:6">
      <c r="A138" s="172"/>
      <c r="B138" s="214"/>
      <c r="E138" s="166"/>
      <c r="F138" s="214"/>
    </row>
    <row r="139" customHeight="1" spans="1:6">
      <c r="A139" s="172"/>
      <c r="B139" s="214"/>
      <c r="E139" s="166"/>
      <c r="F139" s="214"/>
    </row>
    <row r="140" customHeight="1" spans="1:6">
      <c r="A140" s="172"/>
      <c r="B140" s="214"/>
      <c r="E140" s="166"/>
      <c r="F140" s="214"/>
    </row>
    <row r="141" customHeight="1" spans="1:6">
      <c r="A141" s="172"/>
      <c r="B141" s="214"/>
      <c r="E141" s="166"/>
      <c r="F141" s="214"/>
    </row>
    <row r="142" customHeight="1" spans="1:6">
      <c r="A142" s="172"/>
      <c r="B142" s="214"/>
      <c r="E142" s="166"/>
      <c r="F142" s="214"/>
    </row>
    <row r="143" customHeight="1" spans="1:6">
      <c r="A143" s="172"/>
      <c r="B143" s="214"/>
      <c r="E143" s="166"/>
      <c r="F143" s="214"/>
    </row>
    <row r="144" customHeight="1" spans="1:6">
      <c r="A144" s="172"/>
      <c r="B144" s="214"/>
      <c r="E144" s="166"/>
      <c r="F144" s="214"/>
    </row>
    <row r="145" customHeight="1" spans="1:6">
      <c r="A145" s="172"/>
      <c r="B145" s="214"/>
      <c r="E145" s="166"/>
      <c r="F145" s="214"/>
    </row>
    <row r="146" customHeight="1" spans="1:6">
      <c r="A146" s="172"/>
      <c r="B146" s="214"/>
      <c r="E146" s="166"/>
      <c r="F146" s="214"/>
    </row>
    <row r="147" customHeight="1" spans="1:6">
      <c r="A147" s="172"/>
      <c r="B147" s="214"/>
      <c r="E147" s="166"/>
      <c r="F147" s="214"/>
    </row>
    <row r="148" customHeight="1" spans="1:6">
      <c r="A148" s="172"/>
      <c r="B148" s="214"/>
      <c r="E148" s="166"/>
      <c r="F148" s="214"/>
    </row>
    <row r="149" customHeight="1" spans="1:6">
      <c r="A149" s="172"/>
      <c r="B149" s="214"/>
      <c r="E149" s="166"/>
      <c r="F149" s="214"/>
    </row>
    <row r="150" customHeight="1" spans="1:6">
      <c r="A150" s="172"/>
      <c r="B150" s="214"/>
      <c r="E150" s="166"/>
      <c r="F150" s="214"/>
    </row>
    <row r="151" customHeight="1" spans="1:6">
      <c r="A151" s="172"/>
      <c r="B151" s="214"/>
      <c r="E151" s="166"/>
      <c r="F151" s="214"/>
    </row>
    <row r="152" customHeight="1" spans="1:6">
      <c r="A152" s="172"/>
      <c r="B152" s="214"/>
      <c r="E152" s="166"/>
      <c r="F152" s="214"/>
    </row>
    <row r="153" customHeight="1" spans="1:6">
      <c r="A153" s="172"/>
      <c r="B153" s="214"/>
      <c r="E153" s="166"/>
      <c r="F153" s="214"/>
    </row>
    <row r="154" customHeight="1" spans="1:6">
      <c r="A154" s="172"/>
      <c r="B154" s="214"/>
      <c r="E154" s="166"/>
      <c r="F154" s="214"/>
    </row>
    <row r="155" customHeight="1" spans="1:6">
      <c r="A155" s="172"/>
      <c r="B155" s="214"/>
      <c r="E155" s="166"/>
      <c r="F155" s="214"/>
    </row>
    <row r="156" customHeight="1" spans="1:6">
      <c r="A156" s="172"/>
      <c r="B156" s="214"/>
      <c r="E156" s="166"/>
      <c r="F156" s="214"/>
    </row>
    <row r="157" customHeight="1" spans="1:6">
      <c r="A157" s="172"/>
      <c r="B157" s="214"/>
      <c r="E157" s="166"/>
      <c r="F157" s="214"/>
    </row>
    <row r="158" customHeight="1" spans="1:6">
      <c r="A158" s="172"/>
      <c r="B158" s="214"/>
      <c r="E158" s="166"/>
      <c r="F158" s="214"/>
    </row>
    <row r="159" customHeight="1" spans="1:6">
      <c r="A159" s="172"/>
      <c r="B159" s="214"/>
      <c r="E159" s="166"/>
      <c r="F159" s="214"/>
    </row>
    <row r="160" customHeight="1" spans="1:6">
      <c r="A160" s="172"/>
      <c r="B160" s="214"/>
      <c r="E160" s="166"/>
      <c r="F160" s="214"/>
    </row>
    <row r="161" customHeight="1" spans="2:6">
      <c r="B161" s="176"/>
      <c r="C161" s="166"/>
      <c r="D161" s="166"/>
      <c r="E161" s="166"/>
      <c r="F161" s="201"/>
    </row>
    <row r="162" customHeight="1" spans="2:6">
      <c r="B162" s="176"/>
      <c r="C162" s="166"/>
      <c r="D162" s="166"/>
      <c r="E162" s="166"/>
      <c r="F162" s="201"/>
    </row>
    <row r="163" customHeight="1" spans="2:6">
      <c r="B163" s="177"/>
      <c r="C163" s="166"/>
      <c r="D163" s="166"/>
      <c r="E163" s="166"/>
      <c r="F163" s="201"/>
    </row>
    <row r="164" customHeight="1" spans="2:6">
      <c r="B164" s="176"/>
      <c r="C164" s="166"/>
      <c r="D164" s="166"/>
      <c r="E164" s="166"/>
      <c r="F164" s="201"/>
    </row>
    <row r="165" customHeight="1" spans="2:6">
      <c r="B165" s="176"/>
      <c r="C165" s="166"/>
      <c r="D165" s="166"/>
      <c r="E165" s="166"/>
      <c r="F165" s="201"/>
    </row>
    <row r="166" customHeight="1" spans="2:6">
      <c r="B166" s="177"/>
      <c r="C166" s="166"/>
      <c r="D166" s="166"/>
      <c r="E166" s="166"/>
      <c r="F166" s="201"/>
    </row>
    <row r="167" customHeight="1" spans="2:6">
      <c r="B167" s="176"/>
      <c r="C167" s="166"/>
      <c r="D167" s="166"/>
      <c r="E167" s="166"/>
      <c r="F167" s="201"/>
    </row>
    <row r="168" customHeight="1" spans="2:6">
      <c r="B168" s="176"/>
      <c r="C168" s="166"/>
      <c r="D168" s="166"/>
      <c r="E168" s="166"/>
      <c r="F168" s="201"/>
    </row>
    <row r="169" customHeight="1" spans="2:6">
      <c r="B169" s="176"/>
      <c r="C169" s="166"/>
      <c r="D169" s="166"/>
      <c r="E169" s="166"/>
      <c r="F169" s="201"/>
    </row>
    <row r="170" customHeight="1" spans="2:6">
      <c r="B170" s="176"/>
      <c r="C170" s="166"/>
      <c r="D170" s="166"/>
      <c r="E170" s="166"/>
      <c r="F170" s="201"/>
    </row>
    <row r="171" customHeight="1" spans="2:6">
      <c r="B171" s="176"/>
      <c r="C171" s="166"/>
      <c r="D171" s="166"/>
      <c r="E171" s="166"/>
      <c r="F171" s="201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3">
    <cfRule type="containsBlanks" dxfId="25" priority="1">
      <formula>LEN(TRIM(G9))=0</formula>
    </cfRule>
  </conditionalFormatting>
  <dataValidations count="1">
    <dataValidation type="list" allowBlank="1" showInputMessage="1" showErrorMessage="1" sqref="D9:D13">
      <formula1>CATEGORIA</formula1>
    </dataValidation>
  </dataValidations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4"/>
  <sheetViews>
    <sheetView zoomScale="99" zoomScaleNormal="99" workbookViewId="0">
      <selection activeCell="G4" sqref="G4:G44"/>
    </sheetView>
  </sheetViews>
  <sheetFormatPr defaultColWidth="9.14285714285714" defaultRowHeight="15"/>
  <cols>
    <col min="1" max="16384" width="9.14285714285714" style="178"/>
  </cols>
  <sheetData>
    <row r="1" spans="6:6">
      <c r="F1" s="178" t="s">
        <v>81</v>
      </c>
    </row>
    <row r="2" ht="15.75" spans="2:7">
      <c r="B2" s="178" t="s">
        <v>82</v>
      </c>
      <c r="F2" s="179" t="s">
        <v>83</v>
      </c>
      <c r="G2" s="180" t="s">
        <v>84</v>
      </c>
    </row>
    <row r="3" ht="15.75" spans="3:15">
      <c r="C3" s="178" t="str">
        <f>""</f>
        <v/>
      </c>
      <c r="F3" s="179" t="e">
        <v>#N/A</v>
      </c>
      <c r="G3" s="180">
        <v>0</v>
      </c>
      <c r="I3" s="178">
        <v>1</v>
      </c>
      <c r="K3" s="178">
        <f>LOOKUP(I3,Tabella4[1],Tabella4[100])+LOOKUP(I4,Tabella4[1],Tabella4[100])</f>
        <v>165</v>
      </c>
      <c r="M3" s="189"/>
      <c r="O3" s="189"/>
    </row>
    <row r="4" ht="15.75" spans="3:15">
      <c r="C4" s="178" t="s">
        <v>55</v>
      </c>
      <c r="F4" s="179">
        <v>1</v>
      </c>
      <c r="G4" s="180">
        <v>95</v>
      </c>
      <c r="I4" s="178">
        <v>4</v>
      </c>
      <c r="M4" s="189"/>
      <c r="N4" s="190"/>
      <c r="O4" s="189"/>
    </row>
    <row r="5" ht="15.75" spans="3:16">
      <c r="C5" s="178" t="s">
        <v>52</v>
      </c>
      <c r="F5" s="181">
        <v>2</v>
      </c>
      <c r="G5" s="182">
        <v>85</v>
      </c>
      <c r="M5" s="189"/>
      <c r="N5" s="191"/>
      <c r="O5" s="189"/>
      <c r="P5" s="189"/>
    </row>
    <row r="6" ht="15.75" spans="3:16">
      <c r="C6" s="178" t="s">
        <v>85</v>
      </c>
      <c r="F6" s="183">
        <v>3</v>
      </c>
      <c r="G6" s="184">
        <v>77</v>
      </c>
      <c r="M6" s="189"/>
      <c r="N6" s="191"/>
      <c r="O6" s="189"/>
      <c r="P6" s="189"/>
    </row>
    <row r="7" ht="15.75" spans="6:16">
      <c r="F7" s="181">
        <v>4</v>
      </c>
      <c r="G7" s="182">
        <v>70</v>
      </c>
      <c r="M7" s="189"/>
      <c r="N7" s="191"/>
      <c r="O7" s="189"/>
      <c r="P7" s="189"/>
    </row>
    <row r="8" ht="15.75" spans="6:16">
      <c r="F8" s="183">
        <v>5</v>
      </c>
      <c r="G8" s="184">
        <v>64</v>
      </c>
      <c r="M8" s="189"/>
      <c r="N8" s="191"/>
      <c r="O8" s="189"/>
      <c r="P8" s="189"/>
    </row>
    <row r="9" ht="15.75" spans="6:16">
      <c r="F9" s="181">
        <v>6</v>
      </c>
      <c r="G9" s="182">
        <v>59</v>
      </c>
      <c r="M9" s="189"/>
      <c r="N9" s="191"/>
      <c r="O9" s="189"/>
      <c r="P9" s="189"/>
    </row>
    <row r="10" ht="15.75" spans="6:16">
      <c r="F10" s="183">
        <v>7</v>
      </c>
      <c r="G10" s="184">
        <v>55</v>
      </c>
      <c r="M10" s="189"/>
      <c r="N10" s="191"/>
      <c r="O10" s="189"/>
      <c r="P10" s="189"/>
    </row>
    <row r="11" ht="15.75" spans="6:16">
      <c r="F11" s="181">
        <v>8</v>
      </c>
      <c r="G11" s="182">
        <v>52</v>
      </c>
      <c r="M11" s="189"/>
      <c r="N11" s="191"/>
      <c r="O11" s="189"/>
      <c r="P11" s="189"/>
    </row>
    <row r="12" ht="15.75" spans="6:16">
      <c r="F12" s="183">
        <v>9</v>
      </c>
      <c r="G12" s="184">
        <v>49</v>
      </c>
      <c r="M12" s="189"/>
      <c r="N12" s="191"/>
      <c r="O12" s="189"/>
      <c r="P12" s="189"/>
    </row>
    <row r="13" ht="15.75" spans="6:16">
      <c r="F13" s="181">
        <v>10</v>
      </c>
      <c r="G13" s="182">
        <v>46</v>
      </c>
      <c r="M13" s="189"/>
      <c r="N13" s="191"/>
      <c r="O13" s="189"/>
      <c r="P13" s="189"/>
    </row>
    <row r="14" ht="15.75" spans="6:16">
      <c r="F14" s="183">
        <v>11</v>
      </c>
      <c r="G14" s="184">
        <v>43</v>
      </c>
      <c r="M14" s="189"/>
      <c r="N14" s="191"/>
      <c r="O14" s="189"/>
      <c r="P14" s="189"/>
    </row>
    <row r="15" ht="15.75" spans="6:16">
      <c r="F15" s="181">
        <v>12</v>
      </c>
      <c r="G15" s="182">
        <v>40</v>
      </c>
      <c r="M15" s="189"/>
      <c r="N15" s="191"/>
      <c r="O15" s="189"/>
      <c r="P15" s="189"/>
    </row>
    <row r="16" ht="15.75" spans="6:16">
      <c r="F16" s="183">
        <v>13</v>
      </c>
      <c r="G16" s="184">
        <v>37</v>
      </c>
      <c r="M16" s="189"/>
      <c r="N16" s="191"/>
      <c r="O16" s="189"/>
      <c r="P16" s="189"/>
    </row>
    <row r="17" ht="15.75" spans="6:16">
      <c r="F17" s="181">
        <v>14</v>
      </c>
      <c r="G17" s="182">
        <v>34</v>
      </c>
      <c r="M17" s="189"/>
      <c r="N17" s="191"/>
      <c r="O17" s="189"/>
      <c r="P17" s="189"/>
    </row>
    <row r="18" ht="15.75" spans="6:16">
      <c r="F18" s="183">
        <v>15</v>
      </c>
      <c r="G18" s="184">
        <v>32</v>
      </c>
      <c r="M18" s="189"/>
      <c r="N18" s="191"/>
      <c r="O18" s="189"/>
      <c r="P18" s="189"/>
    </row>
    <row r="19" ht="15.75" spans="6:16">
      <c r="F19" s="181">
        <v>16</v>
      </c>
      <c r="G19" s="182">
        <v>30</v>
      </c>
      <c r="M19" s="189"/>
      <c r="N19" s="191"/>
      <c r="O19" s="192"/>
      <c r="P19" s="189"/>
    </row>
    <row r="20" ht="15.75" spans="6:16">
      <c r="F20" s="183">
        <v>17</v>
      </c>
      <c r="G20" s="184">
        <v>28</v>
      </c>
      <c r="M20" s="189"/>
      <c r="N20" s="191"/>
      <c r="O20" s="192"/>
      <c r="P20" s="189"/>
    </row>
    <row r="21" ht="15.75" spans="6:16">
      <c r="F21" s="181">
        <v>18</v>
      </c>
      <c r="G21" s="182">
        <v>26</v>
      </c>
      <c r="M21" s="189"/>
      <c r="N21" s="191"/>
      <c r="O21" s="192"/>
      <c r="P21" s="189"/>
    </row>
    <row r="22" ht="15.75" spans="6:16">
      <c r="F22" s="183">
        <v>19</v>
      </c>
      <c r="G22" s="184">
        <v>24</v>
      </c>
      <c r="M22" s="189"/>
      <c r="N22" s="191"/>
      <c r="O22" s="192"/>
      <c r="P22" s="189"/>
    </row>
    <row r="23" ht="15.75" spans="6:16">
      <c r="F23" s="181">
        <v>20</v>
      </c>
      <c r="G23" s="182">
        <v>23</v>
      </c>
      <c r="M23" s="189"/>
      <c r="N23" s="191"/>
      <c r="O23" s="192"/>
      <c r="P23" s="189"/>
    </row>
    <row r="24" ht="15.75" spans="6:16">
      <c r="F24" s="183">
        <v>21</v>
      </c>
      <c r="G24" s="184">
        <v>22</v>
      </c>
      <c r="M24" s="189"/>
      <c r="N24" s="191"/>
      <c r="O24" s="192"/>
      <c r="P24" s="189"/>
    </row>
    <row r="25" ht="15.75" spans="6:16">
      <c r="F25" s="181">
        <v>22</v>
      </c>
      <c r="G25" s="182">
        <v>21</v>
      </c>
      <c r="M25" s="189"/>
      <c r="N25" s="191"/>
      <c r="O25" s="192"/>
      <c r="P25" s="189"/>
    </row>
    <row r="26" ht="15.75" spans="6:16">
      <c r="F26" s="183">
        <v>23</v>
      </c>
      <c r="G26" s="184">
        <v>20</v>
      </c>
      <c r="M26" s="189"/>
      <c r="N26" s="191"/>
      <c r="O26" s="192"/>
      <c r="P26" s="189"/>
    </row>
    <row r="27" ht="15.75" spans="6:16">
      <c r="F27" s="181">
        <v>24</v>
      </c>
      <c r="G27" s="182">
        <v>19</v>
      </c>
      <c r="M27" s="189"/>
      <c r="N27" s="191"/>
      <c r="O27" s="192"/>
      <c r="P27" s="189"/>
    </row>
    <row r="28" ht="15.75" spans="6:16">
      <c r="F28" s="183">
        <v>25</v>
      </c>
      <c r="G28" s="184">
        <v>18</v>
      </c>
      <c r="M28" s="189"/>
      <c r="N28" s="191"/>
      <c r="O28" s="192"/>
      <c r="P28" s="189"/>
    </row>
    <row r="29" ht="15.75" spans="6:16">
      <c r="F29" s="181">
        <v>26</v>
      </c>
      <c r="G29" s="182">
        <v>17</v>
      </c>
      <c r="M29" s="189"/>
      <c r="N29" s="191"/>
      <c r="O29" s="192"/>
      <c r="P29" s="189"/>
    </row>
    <row r="30" ht="15.75" spans="6:16">
      <c r="F30" s="183">
        <v>27</v>
      </c>
      <c r="G30" s="184">
        <v>16</v>
      </c>
      <c r="M30" s="189"/>
      <c r="N30" s="191"/>
      <c r="O30" s="192"/>
      <c r="P30" s="189"/>
    </row>
    <row r="31" ht="15.75" spans="6:16">
      <c r="F31" s="181">
        <v>28</v>
      </c>
      <c r="G31" s="182">
        <v>15</v>
      </c>
      <c r="M31" s="189"/>
      <c r="N31" s="191"/>
      <c r="O31" s="192"/>
      <c r="P31" s="189"/>
    </row>
    <row r="32" ht="15.75" spans="6:16">
      <c r="F32" s="183">
        <v>29</v>
      </c>
      <c r="G32" s="184">
        <v>14</v>
      </c>
      <c r="M32" s="189"/>
      <c r="N32" s="191"/>
      <c r="O32" s="192"/>
      <c r="P32" s="189"/>
    </row>
    <row r="33" ht="15.75" spans="6:16">
      <c r="F33" s="181">
        <v>30</v>
      </c>
      <c r="G33" s="182">
        <v>13</v>
      </c>
      <c r="M33" s="189"/>
      <c r="N33" s="191"/>
      <c r="O33" s="192"/>
      <c r="P33" s="189"/>
    </row>
    <row r="34" ht="15.75" spans="6:16">
      <c r="F34" s="183">
        <v>31</v>
      </c>
      <c r="G34" s="184">
        <v>12</v>
      </c>
      <c r="M34" s="189"/>
      <c r="N34" s="191"/>
      <c r="O34" s="192"/>
      <c r="P34" s="189"/>
    </row>
    <row r="35" ht="15.75" spans="6:16">
      <c r="F35" s="181">
        <v>32</v>
      </c>
      <c r="G35" s="182">
        <v>11</v>
      </c>
      <c r="M35" s="189"/>
      <c r="N35" s="191"/>
      <c r="O35" s="192"/>
      <c r="P35" s="189"/>
    </row>
    <row r="36" ht="15.75" spans="6:16">
      <c r="F36" s="183">
        <v>33</v>
      </c>
      <c r="G36" s="185">
        <v>10</v>
      </c>
      <c r="M36" s="189"/>
      <c r="N36" s="191"/>
      <c r="O36" s="192"/>
      <c r="P36" s="189"/>
    </row>
    <row r="37" ht="15.75" spans="6:16">
      <c r="F37" s="181">
        <v>34</v>
      </c>
      <c r="G37" s="186">
        <v>9.05</v>
      </c>
      <c r="M37" s="189"/>
      <c r="N37" s="191"/>
      <c r="O37" s="192"/>
      <c r="P37" s="189"/>
    </row>
    <row r="38" ht="15.75" spans="6:16">
      <c r="F38" s="183">
        <v>35</v>
      </c>
      <c r="G38" s="185">
        <v>8.1</v>
      </c>
      <c r="M38" s="189"/>
      <c r="N38" s="191"/>
      <c r="O38" s="192"/>
      <c r="P38" s="189"/>
    </row>
    <row r="39" ht="15.75" spans="6:16">
      <c r="F39" s="181">
        <v>36</v>
      </c>
      <c r="G39" s="186">
        <v>7.15</v>
      </c>
      <c r="M39" s="189"/>
      <c r="N39" s="191"/>
      <c r="O39" s="192"/>
      <c r="P39" s="189"/>
    </row>
    <row r="40" ht="15.75" spans="6:16">
      <c r="F40" s="183">
        <v>37</v>
      </c>
      <c r="G40" s="185">
        <v>6</v>
      </c>
      <c r="M40" s="189"/>
      <c r="N40" s="191"/>
      <c r="O40" s="192"/>
      <c r="P40" s="189"/>
    </row>
    <row r="41" ht="15.75" spans="6:16">
      <c r="F41" s="181">
        <v>38</v>
      </c>
      <c r="G41" s="186">
        <v>5</v>
      </c>
      <c r="M41" s="189"/>
      <c r="N41" s="191"/>
      <c r="O41" s="192"/>
      <c r="P41" s="189"/>
    </row>
    <row r="42" ht="15.75" spans="6:16">
      <c r="F42" s="183">
        <v>39</v>
      </c>
      <c r="G42" s="184">
        <v>4</v>
      </c>
      <c r="M42" s="189"/>
      <c r="N42" s="191"/>
      <c r="O42" s="192"/>
      <c r="P42" s="189"/>
    </row>
    <row r="43" ht="15.75" spans="6:16">
      <c r="F43" s="187">
        <v>40</v>
      </c>
      <c r="G43" s="182">
        <v>4</v>
      </c>
      <c r="M43" s="189"/>
      <c r="N43" s="191"/>
      <c r="O43" s="192"/>
      <c r="P43" s="189"/>
    </row>
    <row r="44" ht="15.75" spans="6:16">
      <c r="F44" s="178" t="s">
        <v>86</v>
      </c>
      <c r="G44" s="188">
        <v>3</v>
      </c>
      <c r="M44" s="189"/>
      <c r="N44" s="191"/>
      <c r="O44" s="192"/>
      <c r="P44" s="189"/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0"/>
  <sheetViews>
    <sheetView tabSelected="1" zoomScale="50" zoomScaleNormal="50" workbookViewId="0">
      <selection activeCell="M15" sqref="M15:M16"/>
    </sheetView>
  </sheetViews>
  <sheetFormatPr defaultColWidth="9.14285714285714" defaultRowHeight="25.5" customHeight="1"/>
  <cols>
    <col min="1" max="1" width="10.2857142857143" style="79" customWidth="1"/>
    <col min="2" max="2" width="42.5714285714286" style="79" customWidth="1"/>
    <col min="3" max="3" width="18.8571428571429" style="79" customWidth="1"/>
    <col min="4" max="4" width="10.7142857142857" style="79" customWidth="1"/>
    <col min="5" max="5" width="10.8571428571429" style="79" customWidth="1"/>
    <col min="6" max="6" width="21.4285714285714" style="79" customWidth="1"/>
    <col min="7" max="7" width="15.1428571428571" style="79" customWidth="1"/>
    <col min="8" max="8" width="17.2857142857143" style="79" customWidth="1"/>
    <col min="9" max="9" width="14.8571428571429" style="79" customWidth="1"/>
    <col min="10" max="10" width="12.5714285714286" style="79" customWidth="1"/>
    <col min="11" max="11" width="14.8571428571429" style="79" customWidth="1"/>
    <col min="12" max="12" width="16.5714285714286" style="79" customWidth="1"/>
    <col min="13" max="13" width="12.7142857142857" style="79" customWidth="1"/>
    <col min="14" max="14" width="15.7142857142857" style="79" customWidth="1"/>
    <col min="15" max="15" width="12.5714285714286" style="79" customWidth="1"/>
    <col min="16" max="16" width="13.1428571428571" style="79" customWidth="1"/>
    <col min="17" max="17" width="10.8571428571429" style="79" customWidth="1"/>
    <col min="18" max="18" width="11.5714285714286" style="79" customWidth="1"/>
    <col min="19" max="19" width="12.8571428571429" style="79" customWidth="1"/>
    <col min="20" max="20" width="15" style="79" customWidth="1"/>
    <col min="21" max="21" width="4" style="79" customWidth="1"/>
    <col min="22" max="22" width="20.1428571428571" style="79" customWidth="1"/>
    <col min="23" max="23" width="4" style="79" customWidth="1"/>
    <col min="24" max="24" width="20.1428571428571" style="79" customWidth="1"/>
    <col min="25" max="25" width="15" style="79" customWidth="1"/>
    <col min="26" max="16384" width="9.14285714285714" style="79"/>
  </cols>
  <sheetData>
    <row r="1" ht="72.95" customHeight="1" spans="1: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150"/>
    </row>
    <row r="2" ht="9.75" customHeight="1" spans="1:25">
      <c r="A2" s="82"/>
      <c r="B2" s="82"/>
      <c r="C2" s="82"/>
      <c r="D2" s="82"/>
      <c r="E2" s="82"/>
      <c r="F2" s="83"/>
      <c r="G2" s="84">
        <f>IF(COUNTA(FEMMINE7[24-mar])=0,0,COUNTA(FEMMINE7[24-mar]))</f>
        <v>1</v>
      </c>
      <c r="H2" s="84">
        <f>IF(COUNTA(FEMMINE7[14-apr])=0,0,COUNTA(FEMMINE7[14-apr]))</f>
        <v>1</v>
      </c>
      <c r="I2" s="84">
        <f>IF(COUNTA(FEMMINE7[12-mag])=0,0,COUNTA(FEMMINE7[12-mag]))</f>
        <v>1</v>
      </c>
      <c r="J2" s="84">
        <f>IF(COUNTA(FEMMINE7[12-giu])=0,0,COUNTA(FEMMINE7[12-giu]))</f>
        <v>1</v>
      </c>
      <c r="K2" s="84">
        <f>IF(COUNTA(FEMMINE7[16-giu])=0,0,COUNTA(FEMMINE7[16-giu]))</f>
        <v>1</v>
      </c>
      <c r="L2" s="84">
        <f>IF(COUNTA(FEMMINE7[25-giu])=0,0,COUNTA(FEMMINE7[25-giu]))</f>
        <v>1</v>
      </c>
      <c r="M2" s="84">
        <f>IF(COUNTA(FEMMINE7[29-ago])=0,0,COUNTA(FEMMINE7[29-ago]))</f>
        <v>1</v>
      </c>
      <c r="N2" s="84">
        <f>IF(COUNTA(FEMMINE7[29-set])=0,0,COUNTA(FEMMINE7[29-set]))</f>
        <v>2</v>
      </c>
      <c r="O2" s="84">
        <f>IF(COUNTA(FEMMINE7[data9])=0,0,COUNTA(FEMMINE7[data9]))</f>
        <v>0</v>
      </c>
      <c r="P2" s="84">
        <f>IF(COUNTA(FEMMINE7[data10])=0,0,COUNTA(FEMMINE7[data10]))</f>
        <v>0</v>
      </c>
      <c r="Q2" s="84">
        <f>IF(COUNTA(FEMMINE7[data11])=0,0,COUNTA(FEMMINE7[data11]))</f>
        <v>0</v>
      </c>
      <c r="R2" s="84">
        <f>IF(COUNTA(FEMMINE7[data12])=0,0,COUNTA(FEMMINE7[data12]))</f>
        <v>0</v>
      </c>
      <c r="S2" s="84">
        <f>IF(COUNTA(FEMMINE7[data13])=0,0,COUNTA(FEMMINE7[data13]))</f>
        <v>0</v>
      </c>
      <c r="T2" s="84"/>
      <c r="U2" s="84"/>
      <c r="V2" s="84">
        <f>IF(COUNTA(FEMMINE7[data13])=0,0,COUNTA(FEMMINE7[data13]))</f>
        <v>0</v>
      </c>
      <c r="W2" s="83"/>
      <c r="X2" s="83"/>
      <c r="Y2" s="83"/>
    </row>
    <row r="3" ht="9.75" customHeight="1" spans="1:25">
      <c r="A3" s="82"/>
      <c r="B3" s="82"/>
      <c r="C3" s="82"/>
      <c r="D3" s="82"/>
      <c r="E3" s="82"/>
      <c r="F3" s="85"/>
      <c r="G3" s="84">
        <f>IF(G2=0,0,1)</f>
        <v>1</v>
      </c>
      <c r="H3" s="84">
        <f>IF(H2=0,0,1)</f>
        <v>1</v>
      </c>
      <c r="I3" s="84">
        <f t="shared" ref="I3:S3" si="0">IF(I2=0,0,1)</f>
        <v>1</v>
      </c>
      <c r="J3" s="84">
        <f t="shared" si="0"/>
        <v>1</v>
      </c>
      <c r="K3" s="84">
        <f t="shared" si="0"/>
        <v>1</v>
      </c>
      <c r="L3" s="84">
        <f t="shared" si="0"/>
        <v>1</v>
      </c>
      <c r="M3" s="84">
        <f t="shared" si="0"/>
        <v>1</v>
      </c>
      <c r="N3" s="84">
        <f t="shared" si="0"/>
        <v>1</v>
      </c>
      <c r="O3" s="84">
        <f t="shared" si="0"/>
        <v>0</v>
      </c>
      <c r="P3" s="84">
        <f t="shared" si="0"/>
        <v>0</v>
      </c>
      <c r="Q3" s="84">
        <f t="shared" si="0"/>
        <v>0</v>
      </c>
      <c r="R3" s="84">
        <f t="shared" si="0"/>
        <v>0</v>
      </c>
      <c r="S3" s="84">
        <f t="shared" si="0"/>
        <v>0</v>
      </c>
      <c r="T3" s="84">
        <f>SUM(G3:S3)+V3</f>
        <v>8</v>
      </c>
      <c r="U3" s="84"/>
      <c r="V3" s="84">
        <f t="shared" ref="V3" si="1">IF(V2=0,0,1)</f>
        <v>0</v>
      </c>
      <c r="W3" s="83"/>
      <c r="X3" s="83"/>
      <c r="Y3" s="83"/>
    </row>
    <row r="4" customHeight="1" spans="1:25">
      <c r="A4" s="86" t="s">
        <v>87</v>
      </c>
      <c r="B4" s="87"/>
      <c r="C4" s="87"/>
      <c r="D4" s="87"/>
      <c r="E4" s="88"/>
      <c r="F4" s="89"/>
      <c r="G4" s="90" t="s">
        <v>3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151"/>
    </row>
    <row r="5" customHeight="1" spans="1:25">
      <c r="A5" s="92"/>
      <c r="B5" s="93"/>
      <c r="C5" s="93"/>
      <c r="D5" s="93"/>
      <c r="E5" s="94"/>
      <c r="F5" s="95"/>
      <c r="G5" s="96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52"/>
    </row>
    <row r="6" customHeight="1" spans="1:31">
      <c r="A6" s="98"/>
      <c r="B6" s="98"/>
      <c r="C6" s="98"/>
      <c r="D6" s="98"/>
      <c r="E6" s="98"/>
      <c r="F6" s="83"/>
      <c r="G6" s="99" t="s">
        <v>4</v>
      </c>
      <c r="H6" s="99" t="s">
        <v>5</v>
      </c>
      <c r="I6" s="99" t="s">
        <v>6</v>
      </c>
      <c r="J6" s="99" t="s">
        <v>7</v>
      </c>
      <c r="K6" s="99" t="s">
        <v>8</v>
      </c>
      <c r="L6" s="99" t="s">
        <v>9</v>
      </c>
      <c r="M6" s="99" t="s">
        <v>10</v>
      </c>
      <c r="N6" s="99" t="s">
        <v>11</v>
      </c>
      <c r="O6" s="99" t="s">
        <v>12</v>
      </c>
      <c r="P6" s="99" t="s">
        <v>13</v>
      </c>
      <c r="Q6" s="99" t="s">
        <v>14</v>
      </c>
      <c r="R6" s="99" t="s">
        <v>15</v>
      </c>
      <c r="S6" s="126" t="s">
        <v>16</v>
      </c>
      <c r="T6" s="127"/>
      <c r="U6" s="128"/>
      <c r="V6" s="129" t="s">
        <v>17</v>
      </c>
      <c r="W6" s="128"/>
      <c r="X6" s="130" t="s">
        <v>18</v>
      </c>
      <c r="Y6" s="153" t="s">
        <v>19</v>
      </c>
      <c r="Z6" s="154"/>
      <c r="AA6" s="154"/>
      <c r="AB6" s="154"/>
      <c r="AC6" s="154"/>
      <c r="AD6" s="154"/>
      <c r="AE6" s="154"/>
    </row>
    <row r="7" s="78" customFormat="1" customHeight="1" spans="1:25">
      <c r="A7" s="98"/>
      <c r="B7" s="98"/>
      <c r="C7" s="98"/>
      <c r="D7" s="98"/>
      <c r="E7" s="98"/>
      <c r="F7" s="83"/>
      <c r="G7" s="100" t="s">
        <v>20</v>
      </c>
      <c r="H7" s="101" t="s">
        <v>21</v>
      </c>
      <c r="I7" s="101" t="s">
        <v>22</v>
      </c>
      <c r="J7" s="101" t="s">
        <v>23</v>
      </c>
      <c r="K7" s="100" t="s">
        <v>24</v>
      </c>
      <c r="L7" s="101" t="s">
        <v>25</v>
      </c>
      <c r="M7" s="101" t="s">
        <v>23</v>
      </c>
      <c r="N7" s="100" t="s">
        <v>20</v>
      </c>
      <c r="O7" s="101" t="s">
        <v>26</v>
      </c>
      <c r="P7" s="101" t="s">
        <v>26</v>
      </c>
      <c r="Q7" s="101" t="s">
        <v>26</v>
      </c>
      <c r="R7" s="101" t="s">
        <v>26</v>
      </c>
      <c r="S7" s="131" t="s">
        <v>26</v>
      </c>
      <c r="T7" s="132"/>
      <c r="U7" s="133"/>
      <c r="V7" s="134"/>
      <c r="W7" s="133"/>
      <c r="X7" s="130"/>
      <c r="Y7" s="153"/>
    </row>
    <row r="8" customHeight="1" spans="1:26">
      <c r="A8" s="102" t="s">
        <v>27</v>
      </c>
      <c r="B8" s="103" t="s">
        <v>28</v>
      </c>
      <c r="C8" s="104" t="s">
        <v>29</v>
      </c>
      <c r="D8" s="104" t="s">
        <v>30</v>
      </c>
      <c r="E8" s="105" t="s">
        <v>31</v>
      </c>
      <c r="F8" s="104" t="s">
        <v>26</v>
      </c>
      <c r="G8" s="281" t="s">
        <v>32</v>
      </c>
      <c r="H8" s="281" t="s">
        <v>33</v>
      </c>
      <c r="I8" s="281" t="s">
        <v>34</v>
      </c>
      <c r="J8" s="281" t="s">
        <v>35</v>
      </c>
      <c r="K8" s="281" t="s">
        <v>36</v>
      </c>
      <c r="L8" s="281" t="s">
        <v>37</v>
      </c>
      <c r="M8" s="281" t="s">
        <v>38</v>
      </c>
      <c r="N8" s="281" t="s">
        <v>39</v>
      </c>
      <c r="O8" s="281" t="s">
        <v>40</v>
      </c>
      <c r="P8" s="281" t="s">
        <v>41</v>
      </c>
      <c r="Q8" s="281" t="s">
        <v>42</v>
      </c>
      <c r="R8" s="281" t="s">
        <v>43</v>
      </c>
      <c r="S8" s="282" t="s">
        <v>44</v>
      </c>
      <c r="T8" s="54" t="s">
        <v>45</v>
      </c>
      <c r="U8" s="136" t="s">
        <v>46</v>
      </c>
      <c r="V8" s="280" t="s">
        <v>47</v>
      </c>
      <c r="W8" s="138" t="s">
        <v>48</v>
      </c>
      <c r="X8" s="139" t="s">
        <v>49</v>
      </c>
      <c r="Y8" s="155" t="s">
        <v>50</v>
      </c>
      <c r="Z8" s="156"/>
    </row>
    <row r="9" customHeight="1" spans="1:26">
      <c r="A9" s="107">
        <f t="shared" ref="A9" si="2">IF(A8="Elenco",1,IF(B9="","",A8+1))</f>
        <v>1</v>
      </c>
      <c r="B9" s="108" t="s">
        <v>88</v>
      </c>
      <c r="C9" s="109">
        <v>2012</v>
      </c>
      <c r="D9" s="109" t="s">
        <v>55</v>
      </c>
      <c r="E9" s="110">
        <v>7</v>
      </c>
      <c r="F9" s="111" t="s">
        <v>89</v>
      </c>
      <c r="G9" s="112">
        <v>1</v>
      </c>
      <c r="H9" s="112">
        <v>1</v>
      </c>
      <c r="I9" s="112">
        <v>1</v>
      </c>
      <c r="J9" s="112">
        <v>1</v>
      </c>
      <c r="K9" s="112">
        <v>1</v>
      </c>
      <c r="L9" s="112">
        <v>1</v>
      </c>
      <c r="M9" s="112">
        <v>1</v>
      </c>
      <c r="N9" s="112">
        <v>2</v>
      </c>
      <c r="O9" s="112"/>
      <c r="P9" s="112"/>
      <c r="Q9" s="112"/>
      <c r="R9" s="112"/>
      <c r="S9" s="112"/>
      <c r="T9" s="140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750</v>
      </c>
      <c r="U9" s="141">
        <f>AVERAGE(FEMMINE7[[#This Row],[24-mar]:[data13]])</f>
        <v>1.125</v>
      </c>
      <c r="V9" s="142">
        <v>1</v>
      </c>
      <c r="W9" s="143"/>
      <c r="X9" s="144">
        <f>IFERROR(IF(FEMMINE7[[#This Row],[TOTALE]]+(IF(FEMMINE7[[#This Row],[27-ott]]="",0,LOOKUP(FEMMINE7[[#This Row],[27-ott]],Tabella4[1],Tabella4[100])))=0,"",(FEMMINE7[[#This Row],[TOTALE]]+(IF(FEMMINE7[[#This Row],[27-ott]]="",0,(LOOKUP(FEMMINE7[[#This Row],[27-ott]],Tabella4[1],Tabella4[100])*1.5))))),"")</f>
        <v>892.5</v>
      </c>
      <c r="Y9" s="157">
        <f t="shared" ref="Y9:Y10" si="3">IFERROR(IF(E9=0,"",X9/E9),"")</f>
        <v>127.5</v>
      </c>
      <c r="Z9" s="156"/>
    </row>
    <row r="10" customHeight="1" spans="1:25">
      <c r="A10" s="113">
        <v>2</v>
      </c>
      <c r="B10" s="114" t="s">
        <v>90</v>
      </c>
      <c r="C10" s="115">
        <v>2013</v>
      </c>
      <c r="D10" s="116"/>
      <c r="E10" s="110">
        <v>1</v>
      </c>
      <c r="F10" s="117" t="s">
        <v>20</v>
      </c>
      <c r="G10" s="118"/>
      <c r="H10" s="119"/>
      <c r="I10" s="124"/>
      <c r="J10" s="125"/>
      <c r="K10" s="125"/>
      <c r="L10" s="125"/>
      <c r="M10" s="125"/>
      <c r="N10" s="125">
        <v>4</v>
      </c>
      <c r="O10" s="125"/>
      <c r="P10" s="125"/>
      <c r="Q10" s="125"/>
      <c r="R10" s="125"/>
      <c r="S10" s="125"/>
      <c r="T10" s="145">
        <f>IF(IF(FEMMINE7[[#This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Row],[data13]],Tabella4[1],Tabella4[100]),0)=0,"",IF(FEMMINE7[[#This Row],[24-mar]]&lt;&gt;0,LOOKUP(FEMMINE7[[#This Row],[24-mar]],Tabella4[1],Tabella4[100]),0)+IF(FEMMINE7[[#This Row],[14-apr]]&lt;&gt;0,LOOKUP(FEMMINE7[[#This Row],[14-apr]],Tabella4[1],Tabella4[100]),0)+IF(FEMMINE7[[#This Row],[12-mag]]&lt;&gt;0,LOOKUP(FEMMINE7[[#This Row],[12-mag]],Tabella4[1],Tabella4[100]),0)+IF(FEMMINE7[[#This Row],[12-giu]]&lt;&gt;0,LOOKUP(FEMMINE7[[#This Row],[12-giu]],Tabella4[1],Tabella4[100]),0)+IF(FEMMINE7[[#This Row],[16-giu]]&lt;&gt;0,LOOKUP(FEMMINE7[[#This Row],[16-giu]],Tabella4[1],Tabella4[100]),0)+IF(FEMMINE7[[#This Row],[25-giu]]&lt;&gt;0,LOOKUP(FEMMINE7[[#This Row],[25-giu]],Tabella4[1],Tabella4[100]),0)+IF(FEMMINE7[[#This Row],[29-ago]]&lt;&gt;0,LOOKUP(FEMMINE7[[#This Row],[29-ago]],Tabella4[1],Tabella4[100]),0)+IF(FEMMINE7[[#This Row],[29-set]]&lt;&gt;0,LOOKUP(FEMMINE7[[#This Row],[29-set]],Tabella4[1],Tabella4[100]),0)+IF(FEMMINE7[[#This Row],[data9]]&lt;&gt;0,LOOKUP(FEMMINE7[[#This Row],[data9]],Tabella4[1],Tabella4[100]),0)+IF(FEMMINE7[[#This Row],[data10]]&lt;&gt;0,LOOKUP(FEMMINE7[[#This Row],[data10]],Tabella4[1],Tabella4[100]),0)+IF(FEMMINE7[[#This Row],[data11]]&lt;&gt;0,LOOKUP(FEMMINE7[[#This Row],[data11]],Tabella4[1],Tabella4[100]),0)+IF(FEMMINE7[[#This Row],[data12]]&lt;&gt;0,LOOKUP(FEMMINE7[[#This Row],[data12]],Tabella4[1],Tabella4[100]),0)+IF(FEMMINE7[[#This Row],[data13]]&lt;&gt;0,LOOKUP(FEMMINE7[[#This Row],[data13]],Tabella4[1],Tabella4[100]),0))</f>
        <v>70</v>
      </c>
      <c r="U10" s="146">
        <f>AVERAGE(FEMMINE7[[#This Row],[24-mar]:[data13]])</f>
        <v>4</v>
      </c>
      <c r="V10" s="147">
        <v>2</v>
      </c>
      <c r="W10" s="148"/>
      <c r="X10" s="149">
        <f>IFERROR(IF(FEMMINE7[[#This Row],[TOTALE]]+(IF(FEMMINE7[[#This Row],[27-ott]]="",0,LOOKUP(FEMMINE7[[#This Row],[27-ott]],Tabella4[1],Tabella4[100])))=0,"",(FEMMINE7[[#This Row],[TOTALE]]+(IF(FEMMINE7[[#This Row],[27-ott]]="",0,(LOOKUP(FEMMINE7[[#This Row],[27-ott]],Tabella4[1],Tabella4[100])*1.5))))),"")</f>
        <v>197.5</v>
      </c>
      <c r="Y10" s="158">
        <f t="shared" si="3"/>
        <v>197.5</v>
      </c>
    </row>
    <row r="11" customHeight="1" spans="1:6">
      <c r="A11" s="120"/>
      <c r="B11" s="121"/>
      <c r="C11" s="122"/>
      <c r="F11" s="123"/>
    </row>
    <row r="12" customHeight="1" spans="1:2">
      <c r="A12" s="120"/>
      <c r="B12" s="121"/>
    </row>
    <row r="13" customHeight="1" spans="1:2">
      <c r="A13" s="120"/>
      <c r="B13" s="121"/>
    </row>
    <row r="14" customHeight="1" spans="1:2">
      <c r="A14" s="120"/>
      <c r="B14" s="121"/>
    </row>
    <row r="15" customHeight="1" spans="1:2">
      <c r="A15" s="120"/>
      <c r="B15" s="121"/>
    </row>
    <row r="16" customHeight="1" spans="1:2">
      <c r="A16" s="120"/>
      <c r="B16" s="121"/>
    </row>
    <row r="17" customHeight="1" spans="1:2">
      <c r="A17" s="120"/>
      <c r="B17" s="121"/>
    </row>
    <row r="18" customHeight="1" spans="1:2">
      <c r="A18" s="120"/>
      <c r="B18" s="121"/>
    </row>
    <row r="19" customHeight="1" spans="1:2">
      <c r="A19" s="120"/>
      <c r="B19" s="121"/>
    </row>
    <row r="20" customHeight="1" spans="1:2">
      <c r="A20" s="120"/>
      <c r="B20" s="121"/>
    </row>
    <row r="21" customHeight="1" spans="1:2">
      <c r="A21" s="120"/>
      <c r="B21" s="121"/>
    </row>
    <row r="22" customHeight="1" spans="1:2">
      <c r="A22" s="120"/>
      <c r="B22" s="121"/>
    </row>
    <row r="23" customHeight="1" spans="1:2">
      <c r="A23" s="120"/>
      <c r="B23" s="121"/>
    </row>
    <row r="24" customHeight="1" spans="1:2">
      <c r="A24" s="120"/>
      <c r="B24" s="121"/>
    </row>
    <row r="25" customHeight="1" spans="1:2">
      <c r="A25" s="120"/>
      <c r="B25" s="121"/>
    </row>
    <row r="26" customHeight="1" spans="1:2">
      <c r="A26" s="120"/>
      <c r="B26" s="121"/>
    </row>
    <row r="27" customHeight="1" spans="1:2">
      <c r="A27" s="120"/>
      <c r="B27" s="121"/>
    </row>
    <row r="28" customHeight="1" spans="1:2">
      <c r="A28" s="120"/>
      <c r="B28" s="121"/>
    </row>
    <row r="29" customHeight="1" spans="1:2">
      <c r="A29" s="120"/>
      <c r="B29" s="121"/>
    </row>
    <row r="30" customHeight="1" spans="1:2">
      <c r="A30" s="120"/>
      <c r="B30" s="121"/>
    </row>
    <row r="31" customHeight="1" spans="1:2">
      <c r="A31" s="120"/>
      <c r="B31" s="121"/>
    </row>
    <row r="32" customHeight="1" spans="1:2">
      <c r="A32" s="120"/>
      <c r="B32" s="121"/>
    </row>
    <row r="33" customHeight="1" spans="1:2">
      <c r="A33" s="120"/>
      <c r="B33" s="121"/>
    </row>
    <row r="34" customHeight="1" spans="1:2">
      <c r="A34" s="120"/>
      <c r="B34" s="121"/>
    </row>
    <row r="35" customHeight="1" spans="1:6">
      <c r="A35" s="120"/>
      <c r="B35" s="121"/>
      <c r="F35" s="123"/>
    </row>
    <row r="36" customHeight="1" spans="1:6">
      <c r="A36" s="120"/>
      <c r="B36" s="121"/>
      <c r="F36" s="123"/>
    </row>
    <row r="37" customHeight="1" spans="1:6">
      <c r="A37" s="120"/>
      <c r="B37" s="121"/>
      <c r="F37" s="123"/>
    </row>
    <row r="38" customHeight="1" spans="1:6">
      <c r="A38" s="120"/>
      <c r="B38" s="121"/>
      <c r="F38" s="123"/>
    </row>
    <row r="39" customHeight="1" spans="1:6">
      <c r="A39" s="120"/>
      <c r="B39" s="121"/>
      <c r="F39" s="123"/>
    </row>
    <row r="40" customHeight="1" spans="1:6">
      <c r="A40" s="120"/>
      <c r="B40" s="121"/>
      <c r="F40" s="123"/>
    </row>
    <row r="41" customHeight="1" spans="1:6">
      <c r="A41" s="120"/>
      <c r="B41" s="121"/>
      <c r="F41" s="123"/>
    </row>
    <row r="42" customHeight="1" spans="1:6">
      <c r="A42" s="120"/>
      <c r="B42" s="121"/>
      <c r="F42" s="123"/>
    </row>
    <row r="43" customHeight="1" spans="1:6">
      <c r="A43" s="120"/>
      <c r="B43" s="121"/>
      <c r="F43" s="123"/>
    </row>
    <row r="44" customHeight="1" spans="1:6">
      <c r="A44" s="120"/>
      <c r="B44" s="121"/>
      <c r="F44" s="123"/>
    </row>
    <row r="45" customHeight="1" spans="1:6">
      <c r="A45" s="120"/>
      <c r="B45" s="121"/>
      <c r="F45" s="123"/>
    </row>
    <row r="46" customHeight="1" spans="1:6">
      <c r="A46" s="120"/>
      <c r="B46" s="121"/>
      <c r="F46" s="123"/>
    </row>
    <row r="47" customHeight="1" spans="1:6">
      <c r="A47" s="120"/>
      <c r="B47" s="121"/>
      <c r="F47" s="123"/>
    </row>
    <row r="48" customHeight="1" spans="1:6">
      <c r="A48" s="120"/>
      <c r="B48" s="121"/>
      <c r="F48" s="123"/>
    </row>
    <row r="49" customHeight="1" spans="1:6">
      <c r="A49" s="120"/>
      <c r="B49" s="121"/>
      <c r="F49" s="123"/>
    </row>
    <row r="50" customHeight="1" spans="1:6">
      <c r="A50" s="120"/>
      <c r="B50" s="121"/>
      <c r="F50" s="123"/>
    </row>
    <row r="51" customHeight="1" spans="1:6">
      <c r="A51" s="120"/>
      <c r="B51" s="121"/>
      <c r="F51" s="123"/>
    </row>
    <row r="52" customHeight="1" spans="1:6">
      <c r="A52" s="120"/>
      <c r="B52" s="121"/>
      <c r="F52" s="123"/>
    </row>
    <row r="53" customHeight="1" spans="1:6">
      <c r="A53" s="120"/>
      <c r="B53" s="121"/>
      <c r="F53" s="123"/>
    </row>
    <row r="54" customHeight="1" spans="1:6">
      <c r="A54" s="120"/>
      <c r="B54" s="121"/>
      <c r="F54" s="123"/>
    </row>
    <row r="55" customHeight="1" spans="1:6">
      <c r="A55" s="120"/>
      <c r="B55" s="121"/>
      <c r="F55" s="123"/>
    </row>
    <row r="56" customHeight="1" spans="1:6">
      <c r="A56" s="120"/>
      <c r="B56" s="121"/>
      <c r="F56" s="123"/>
    </row>
    <row r="57" customHeight="1" spans="1:6">
      <c r="A57" s="120"/>
      <c r="B57" s="121"/>
      <c r="F57" s="123"/>
    </row>
    <row r="58" customHeight="1" spans="1:6">
      <c r="A58" s="120"/>
      <c r="B58" s="121"/>
      <c r="F58" s="123"/>
    </row>
    <row r="59" customHeight="1" spans="1:6">
      <c r="A59" s="120"/>
      <c r="B59" s="121"/>
      <c r="F59" s="123"/>
    </row>
    <row r="60" customHeight="1" spans="1:6">
      <c r="A60" s="120"/>
      <c r="B60" s="121"/>
      <c r="F60" s="123"/>
    </row>
    <row r="61" customHeight="1" spans="1:6">
      <c r="A61" s="120"/>
      <c r="B61" s="121"/>
      <c r="F61" s="123"/>
    </row>
    <row r="62" customHeight="1" spans="1:6">
      <c r="A62" s="120"/>
      <c r="B62" s="121"/>
      <c r="F62" s="123"/>
    </row>
    <row r="63" customHeight="1" spans="1:6">
      <c r="A63" s="120"/>
      <c r="B63" s="121"/>
      <c r="F63" s="123"/>
    </row>
    <row r="64" customHeight="1" spans="1:6">
      <c r="A64" s="120"/>
      <c r="B64" s="121"/>
      <c r="F64" s="123"/>
    </row>
    <row r="65" customHeight="1" spans="1:6">
      <c r="A65" s="120"/>
      <c r="B65" s="121"/>
      <c r="F65" s="123"/>
    </row>
    <row r="66" customHeight="1" spans="1:6">
      <c r="A66" s="120"/>
      <c r="B66" s="121"/>
      <c r="F66" s="123"/>
    </row>
    <row r="67" customHeight="1" spans="1:6">
      <c r="A67" s="120"/>
      <c r="B67" s="121"/>
      <c r="F67" s="123"/>
    </row>
    <row r="68" customHeight="1" spans="1:6">
      <c r="A68" s="120"/>
      <c r="B68" s="121"/>
      <c r="F68" s="123"/>
    </row>
    <row r="69" customHeight="1" spans="1:6">
      <c r="A69" s="120"/>
      <c r="B69" s="121"/>
      <c r="F69" s="123"/>
    </row>
    <row r="70" customHeight="1" spans="1:6">
      <c r="A70" s="120"/>
      <c r="B70" s="121"/>
      <c r="F70" s="123"/>
    </row>
    <row r="71" customHeight="1" spans="1:6">
      <c r="A71" s="120"/>
      <c r="B71" s="121"/>
      <c r="F71" s="123"/>
    </row>
    <row r="72" customHeight="1" spans="1:6">
      <c r="A72" s="120"/>
      <c r="B72" s="121"/>
      <c r="F72" s="123"/>
    </row>
    <row r="73" customHeight="1" spans="1:6">
      <c r="A73" s="120"/>
      <c r="B73" s="121"/>
      <c r="F73" s="123"/>
    </row>
    <row r="74" customHeight="1" spans="1:6">
      <c r="A74" s="120"/>
      <c r="B74" s="121"/>
      <c r="F74" s="123"/>
    </row>
    <row r="75" customHeight="1" spans="1:6">
      <c r="A75" s="120"/>
      <c r="B75" s="121"/>
      <c r="F75" s="123"/>
    </row>
    <row r="76" customHeight="1" spans="1:6">
      <c r="A76" s="120"/>
      <c r="B76" s="121"/>
      <c r="F76" s="123"/>
    </row>
    <row r="77" customHeight="1" spans="1:6">
      <c r="A77" s="120"/>
      <c r="B77" s="121"/>
      <c r="F77" s="123"/>
    </row>
    <row r="78" customHeight="1" spans="1:6">
      <c r="A78" s="120"/>
      <c r="B78" s="121"/>
      <c r="F78" s="123"/>
    </row>
    <row r="79" customHeight="1" spans="1:6">
      <c r="A79" s="120"/>
      <c r="B79" s="121"/>
      <c r="F79" s="123"/>
    </row>
    <row r="80" customHeight="1" spans="1:20">
      <c r="A80" s="120"/>
      <c r="F80" s="159"/>
      <c r="G80" s="32"/>
      <c r="H80" s="32"/>
      <c r="I80" s="32"/>
      <c r="J80" s="32"/>
      <c r="K80" s="174"/>
      <c r="L80" s="174"/>
      <c r="M80" s="174"/>
      <c r="N80" s="174"/>
      <c r="O80" s="174"/>
      <c r="P80" s="174"/>
      <c r="Q80" s="174"/>
      <c r="R80" s="174"/>
      <c r="S80" s="32"/>
      <c r="T80" s="175"/>
    </row>
    <row r="81" customHeight="1" spans="1:22">
      <c r="A81" s="120"/>
      <c r="F81" s="159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V81" s="160"/>
    </row>
    <row r="82" customHeight="1" spans="1:22">
      <c r="A82" s="120"/>
      <c r="F82" s="159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V82" s="160"/>
    </row>
    <row r="83" customHeight="1" spans="1:22">
      <c r="A83" s="120"/>
      <c r="F83" s="159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75"/>
      <c r="V83" s="174"/>
    </row>
    <row r="84" customHeight="1" spans="1:22">
      <c r="A84" s="120"/>
      <c r="V84" s="32"/>
    </row>
    <row r="85" customHeight="1" spans="1:1">
      <c r="A85" s="120"/>
    </row>
    <row r="86" customHeight="1" spans="1:6">
      <c r="A86" s="120"/>
      <c r="B86" s="161"/>
      <c r="C86" s="162"/>
      <c r="D86" s="162"/>
      <c r="E86" s="163"/>
      <c r="F86" s="162"/>
    </row>
    <row r="87" customHeight="1" spans="1:6">
      <c r="A87" s="120"/>
      <c r="B87" s="164"/>
      <c r="C87" s="165"/>
      <c r="D87" s="165"/>
      <c r="E87" s="166"/>
      <c r="F87" s="167"/>
    </row>
    <row r="88" customHeight="1" spans="1:6">
      <c r="A88" s="120"/>
      <c r="B88" s="168"/>
      <c r="C88" s="169"/>
      <c r="D88" s="169"/>
      <c r="E88" s="170"/>
      <c r="F88" s="171"/>
    </row>
    <row r="89" customHeight="1" spans="1:1">
      <c r="A89" s="120"/>
    </row>
    <row r="90" customHeight="1" spans="1:1">
      <c r="A90" s="120"/>
    </row>
    <row r="91" customHeight="1" spans="1:1">
      <c r="A91" s="120"/>
    </row>
    <row r="92" customHeight="1" spans="1:1">
      <c r="A92" s="120"/>
    </row>
    <row r="93" customHeight="1" spans="1:6">
      <c r="A93" s="172"/>
      <c r="B93" s="168"/>
      <c r="E93" s="173"/>
      <c r="F93" s="168"/>
    </row>
    <row r="94" customHeight="1" spans="1:6">
      <c r="A94" s="172"/>
      <c r="B94" s="168"/>
      <c r="E94" s="173"/>
      <c r="F94" s="168"/>
    </row>
    <row r="95" customHeight="1" spans="1:6">
      <c r="A95" s="172"/>
      <c r="B95" s="168"/>
      <c r="E95" s="173"/>
      <c r="F95" s="168"/>
    </row>
    <row r="96" customHeight="1" spans="1:6">
      <c r="A96" s="172"/>
      <c r="B96" s="168"/>
      <c r="E96" s="173"/>
      <c r="F96" s="168"/>
    </row>
    <row r="97" customHeight="1" spans="1:6">
      <c r="A97" s="172"/>
      <c r="B97" s="168"/>
      <c r="E97" s="173"/>
      <c r="F97" s="168"/>
    </row>
    <row r="98" customHeight="1" spans="1:6">
      <c r="A98" s="172"/>
      <c r="B98" s="168"/>
      <c r="E98" s="173"/>
      <c r="F98" s="168"/>
    </row>
    <row r="99" customHeight="1" spans="1:6">
      <c r="A99" s="172"/>
      <c r="B99" s="168"/>
      <c r="E99" s="173"/>
      <c r="F99" s="168"/>
    </row>
    <row r="100" customHeight="1" spans="1:6">
      <c r="A100" s="172"/>
      <c r="B100" s="168"/>
      <c r="E100" s="173"/>
      <c r="F100" s="168"/>
    </row>
    <row r="101" customHeight="1" spans="1:6">
      <c r="A101" s="172"/>
      <c r="B101" s="168"/>
      <c r="E101" s="173"/>
      <c r="F101" s="168"/>
    </row>
    <row r="102" customHeight="1" spans="1:6">
      <c r="A102" s="172"/>
      <c r="B102" s="168"/>
      <c r="E102" s="173"/>
      <c r="F102" s="168"/>
    </row>
    <row r="103" customHeight="1" spans="1:6">
      <c r="A103" s="172"/>
      <c r="B103" s="168"/>
      <c r="E103" s="173"/>
      <c r="F103" s="168"/>
    </row>
    <row r="104" customHeight="1" spans="1:6">
      <c r="A104" s="172"/>
      <c r="B104" s="168"/>
      <c r="E104" s="173"/>
      <c r="F104" s="168"/>
    </row>
    <row r="105" customHeight="1" spans="1:6">
      <c r="A105" s="172"/>
      <c r="B105" s="168"/>
      <c r="E105" s="173"/>
      <c r="F105" s="168"/>
    </row>
    <row r="106" customHeight="1" spans="1:6">
      <c r="A106" s="172"/>
      <c r="B106" s="168"/>
      <c r="E106" s="173"/>
      <c r="F106" s="168"/>
    </row>
    <row r="107" customHeight="1" spans="1:6">
      <c r="A107" s="172"/>
      <c r="B107" s="168"/>
      <c r="E107" s="173"/>
      <c r="F107" s="168"/>
    </row>
    <row r="108" customHeight="1" spans="1:6">
      <c r="A108" s="172"/>
      <c r="B108" s="168"/>
      <c r="E108" s="173"/>
      <c r="F108" s="168"/>
    </row>
    <row r="109" customHeight="1" spans="1:6">
      <c r="A109" s="172"/>
      <c r="B109" s="168"/>
      <c r="E109" s="173"/>
      <c r="F109" s="168"/>
    </row>
    <row r="110" customHeight="1" spans="1:6">
      <c r="A110" s="172"/>
      <c r="B110" s="168"/>
      <c r="E110" s="173"/>
      <c r="F110" s="168"/>
    </row>
    <row r="111" customHeight="1" spans="1:6">
      <c r="A111" s="172"/>
      <c r="B111" s="168"/>
      <c r="E111" s="173"/>
      <c r="F111" s="168"/>
    </row>
    <row r="112" customHeight="1" spans="1:6">
      <c r="A112" s="172"/>
      <c r="B112" s="168"/>
      <c r="E112" s="173"/>
      <c r="F112" s="168"/>
    </row>
    <row r="113" customHeight="1" spans="1:6">
      <c r="A113" s="172"/>
      <c r="B113" s="168"/>
      <c r="E113" s="173"/>
      <c r="F113" s="168"/>
    </row>
    <row r="114" customHeight="1" spans="1:6">
      <c r="A114" s="172"/>
      <c r="B114" s="168"/>
      <c r="E114" s="173"/>
      <c r="F114" s="168"/>
    </row>
    <row r="115" customHeight="1" spans="1:6">
      <c r="A115" s="172"/>
      <c r="B115" s="168"/>
      <c r="E115" s="173"/>
      <c r="F115" s="168"/>
    </row>
    <row r="116" customHeight="1" spans="1:6">
      <c r="A116" s="172"/>
      <c r="B116" s="168"/>
      <c r="E116" s="173"/>
      <c r="F116" s="168"/>
    </row>
    <row r="117" customHeight="1" spans="1:6">
      <c r="A117" s="172"/>
      <c r="B117" s="168"/>
      <c r="E117" s="173"/>
      <c r="F117" s="168"/>
    </row>
    <row r="118" customHeight="1" spans="1:6">
      <c r="A118" s="172"/>
      <c r="B118" s="168"/>
      <c r="E118" s="173"/>
      <c r="F118" s="168"/>
    </row>
    <row r="119" customHeight="1" spans="1:6">
      <c r="A119" s="172"/>
      <c r="B119" s="168"/>
      <c r="E119" s="173"/>
      <c r="F119" s="168"/>
    </row>
    <row r="120" customHeight="1" spans="1:6">
      <c r="A120" s="172"/>
      <c r="B120" s="168"/>
      <c r="E120" s="173"/>
      <c r="F120" s="168"/>
    </row>
    <row r="121" customHeight="1" spans="1:6">
      <c r="A121" s="172"/>
      <c r="B121" s="168"/>
      <c r="E121" s="173"/>
      <c r="F121" s="168"/>
    </row>
    <row r="122" customHeight="1" spans="1:6">
      <c r="A122" s="172"/>
      <c r="B122" s="168"/>
      <c r="E122" s="173"/>
      <c r="F122" s="168"/>
    </row>
    <row r="123" customHeight="1" spans="1:6">
      <c r="A123" s="172"/>
      <c r="B123" s="168"/>
      <c r="E123" s="173"/>
      <c r="F123" s="168"/>
    </row>
    <row r="124" customHeight="1" spans="1:6">
      <c r="A124" s="172"/>
      <c r="B124" s="168"/>
      <c r="E124" s="173"/>
      <c r="F124" s="168"/>
    </row>
    <row r="125" customHeight="1" spans="1:6">
      <c r="A125" s="172"/>
      <c r="B125" s="168"/>
      <c r="E125" s="173"/>
      <c r="F125" s="168"/>
    </row>
    <row r="126" customHeight="1" spans="1:6">
      <c r="A126" s="172"/>
      <c r="B126" s="168"/>
      <c r="E126" s="173"/>
      <c r="F126" s="168"/>
    </row>
    <row r="127" customHeight="1" spans="1:6">
      <c r="A127" s="172"/>
      <c r="B127" s="168"/>
      <c r="E127" s="173"/>
      <c r="F127" s="168"/>
    </row>
    <row r="128" customHeight="1" spans="1:6">
      <c r="A128" s="172"/>
      <c r="B128" s="168"/>
      <c r="E128" s="173"/>
      <c r="F128" s="168"/>
    </row>
    <row r="129" customHeight="1" spans="1:6">
      <c r="A129" s="172"/>
      <c r="B129" s="168"/>
      <c r="E129" s="173"/>
      <c r="F129" s="168"/>
    </row>
    <row r="130" customHeight="1" spans="1:6">
      <c r="A130" s="172"/>
      <c r="B130" s="168"/>
      <c r="E130" s="173"/>
      <c r="F130" s="168"/>
    </row>
    <row r="131" customHeight="1" spans="1:6">
      <c r="A131" s="172"/>
      <c r="B131" s="168"/>
      <c r="E131" s="173"/>
      <c r="F131" s="168"/>
    </row>
    <row r="132" customHeight="1" spans="1:6">
      <c r="A132" s="172"/>
      <c r="B132" s="168"/>
      <c r="E132" s="173"/>
      <c r="F132" s="168"/>
    </row>
    <row r="133" customHeight="1" spans="1:6">
      <c r="A133" s="172"/>
      <c r="B133" s="168"/>
      <c r="E133" s="173"/>
      <c r="F133" s="168"/>
    </row>
    <row r="134" customHeight="1" spans="1:6">
      <c r="A134" s="172"/>
      <c r="B134" s="168"/>
      <c r="E134" s="173"/>
      <c r="F134" s="168"/>
    </row>
    <row r="135" customHeight="1" spans="1:6">
      <c r="A135" s="172"/>
      <c r="B135" s="168"/>
      <c r="E135" s="173"/>
      <c r="F135" s="168"/>
    </row>
    <row r="136" customHeight="1" spans="1:6">
      <c r="A136" s="172"/>
      <c r="B136" s="168"/>
      <c r="E136" s="173"/>
      <c r="F136" s="168"/>
    </row>
    <row r="137" customHeight="1" spans="1:6">
      <c r="A137" s="172"/>
      <c r="B137" s="168"/>
      <c r="E137" s="173"/>
      <c r="F137" s="168"/>
    </row>
    <row r="138" customHeight="1" spans="1:6">
      <c r="A138" s="172"/>
      <c r="B138" s="168"/>
      <c r="E138" s="173"/>
      <c r="F138" s="168"/>
    </row>
    <row r="139" customHeight="1" spans="1:6">
      <c r="A139" s="172"/>
      <c r="B139" s="168"/>
      <c r="E139" s="173"/>
      <c r="F139" s="168"/>
    </row>
    <row r="140" customHeight="1" spans="1:6">
      <c r="A140" s="172"/>
      <c r="B140" s="168"/>
      <c r="E140" s="173"/>
      <c r="F140" s="168"/>
    </row>
    <row r="141" customHeight="1" spans="1:6">
      <c r="A141" s="172"/>
      <c r="B141" s="168"/>
      <c r="E141" s="173"/>
      <c r="F141" s="168"/>
    </row>
    <row r="142" customHeight="1" spans="1:6">
      <c r="A142" s="172"/>
      <c r="B142" s="168"/>
      <c r="E142" s="173"/>
      <c r="F142" s="168"/>
    </row>
    <row r="143" customHeight="1" spans="1:6">
      <c r="A143" s="172"/>
      <c r="B143" s="168"/>
      <c r="E143" s="173"/>
      <c r="F143" s="168"/>
    </row>
    <row r="144" customHeight="1" spans="1:6">
      <c r="A144" s="172"/>
      <c r="B144" s="168"/>
      <c r="E144" s="173"/>
      <c r="F144" s="168"/>
    </row>
    <row r="145" customHeight="1" spans="1:6">
      <c r="A145" s="172"/>
      <c r="B145" s="168"/>
      <c r="E145" s="173"/>
      <c r="F145" s="168"/>
    </row>
    <row r="146" customHeight="1" spans="1:6">
      <c r="A146" s="172"/>
      <c r="B146" s="168"/>
      <c r="E146" s="173"/>
      <c r="F146" s="168"/>
    </row>
    <row r="147" customHeight="1" spans="1:6">
      <c r="A147" s="172"/>
      <c r="B147" s="168"/>
      <c r="E147" s="173"/>
      <c r="F147" s="168"/>
    </row>
    <row r="148" customHeight="1" spans="1:6">
      <c r="A148" s="172"/>
      <c r="B148" s="168"/>
      <c r="E148" s="173"/>
      <c r="F148" s="168"/>
    </row>
    <row r="149" customHeight="1" spans="1:6">
      <c r="A149" s="172"/>
      <c r="B149" s="168"/>
      <c r="E149" s="173"/>
      <c r="F149" s="168"/>
    </row>
    <row r="150" customHeight="1" spans="2:6">
      <c r="B150" s="176"/>
      <c r="C150" s="173"/>
      <c r="D150" s="173"/>
      <c r="E150" s="173"/>
      <c r="F150" s="123"/>
    </row>
    <row r="151" customHeight="1" spans="2:6">
      <c r="B151" s="176"/>
      <c r="C151" s="173"/>
      <c r="D151" s="173"/>
      <c r="E151" s="173"/>
      <c r="F151" s="123"/>
    </row>
    <row r="152" customHeight="1" spans="2:6">
      <c r="B152" s="177"/>
      <c r="C152" s="173"/>
      <c r="D152" s="173"/>
      <c r="E152" s="173"/>
      <c r="F152" s="123"/>
    </row>
    <row r="153" customHeight="1" spans="2:6">
      <c r="B153" s="176"/>
      <c r="C153" s="173"/>
      <c r="D153" s="173"/>
      <c r="E153" s="173"/>
      <c r="F153" s="123"/>
    </row>
    <row r="154" customHeight="1" spans="2:6">
      <c r="B154" s="176"/>
      <c r="C154" s="173"/>
      <c r="D154" s="173"/>
      <c r="E154" s="173"/>
      <c r="F154" s="123"/>
    </row>
    <row r="155" customHeight="1" spans="2:6">
      <c r="B155" s="177"/>
      <c r="C155" s="173"/>
      <c r="D155" s="173"/>
      <c r="E155" s="173"/>
      <c r="F155" s="123"/>
    </row>
    <row r="156" customHeight="1" spans="2:6">
      <c r="B156" s="176"/>
      <c r="C156" s="173"/>
      <c r="D156" s="173"/>
      <c r="E156" s="173"/>
      <c r="F156" s="123"/>
    </row>
    <row r="157" customHeight="1" spans="2:6">
      <c r="B157" s="176"/>
      <c r="C157" s="173"/>
      <c r="D157" s="173"/>
      <c r="E157" s="173"/>
      <c r="F157" s="123"/>
    </row>
    <row r="158" customHeight="1" spans="2:6">
      <c r="B158" s="176"/>
      <c r="C158" s="173"/>
      <c r="D158" s="173"/>
      <c r="E158" s="173"/>
      <c r="F158" s="123"/>
    </row>
    <row r="159" customHeight="1" spans="2:6">
      <c r="B159" s="176"/>
      <c r="C159" s="173"/>
      <c r="D159" s="173"/>
      <c r="E159" s="173"/>
      <c r="F159" s="123"/>
    </row>
    <row r="160" customHeight="1" spans="2:6">
      <c r="B160" s="176"/>
      <c r="C160" s="173"/>
      <c r="D160" s="173"/>
      <c r="E160" s="173"/>
      <c r="F160" s="123"/>
    </row>
  </sheetData>
  <mergeCells count="7">
    <mergeCell ref="A1:Y1"/>
    <mergeCell ref="T6:T7"/>
    <mergeCell ref="V6:V7"/>
    <mergeCell ref="X6:X7"/>
    <mergeCell ref="Y6:Y7"/>
    <mergeCell ref="A4:E5"/>
    <mergeCell ref="G4:Y5"/>
  </mergeCells>
  <conditionalFormatting sqref="G9:S10">
    <cfRule type="containsBlanks" dxfId="25" priority="1">
      <formula>LEN(TRIM(G9))=0</formula>
    </cfRule>
  </conditionalFormatting>
  <dataValidations count="1">
    <dataValidation type="list" allowBlank="1" showInputMessage="1" showErrorMessage="1" sqref="D9:D10">
      <formula1>CATEGORIA</formula1>
    </dataValidation>
  </dataValidations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opLeftCell="D1" workbookViewId="0">
      <selection activeCell="N6" sqref="N6"/>
    </sheetView>
  </sheetViews>
  <sheetFormatPr defaultColWidth="23.8571428571429" defaultRowHeight="15"/>
  <cols>
    <col min="4" max="4" width="27.7142857142857" customWidth="1"/>
  </cols>
  <sheetData>
    <row r="1" ht="31.5" spans="1:14">
      <c r="A1" s="49" t="s">
        <v>27</v>
      </c>
      <c r="B1" s="50" t="s">
        <v>28</v>
      </c>
      <c r="C1" s="51" t="s">
        <v>29</v>
      </c>
      <c r="D1" s="51" t="s">
        <v>91</v>
      </c>
      <c r="E1" s="52" t="s">
        <v>92</v>
      </c>
      <c r="F1" s="49" t="s">
        <v>93</v>
      </c>
      <c r="G1" s="283" t="s">
        <v>94</v>
      </c>
      <c r="H1" s="54" t="s">
        <v>45</v>
      </c>
      <c r="I1" s="284" t="s">
        <v>95</v>
      </c>
      <c r="J1" s="68" t="s">
        <v>45</v>
      </c>
      <c r="K1" s="69" t="s">
        <v>50</v>
      </c>
      <c r="M1" s="285" t="s">
        <v>96</v>
      </c>
      <c r="N1" s="70"/>
    </row>
    <row r="2" ht="18.75" spans="1:14">
      <c r="A2" s="55">
        <v>1</v>
      </c>
      <c r="B2" s="56" t="s">
        <v>97</v>
      </c>
      <c r="C2" s="57">
        <v>2004</v>
      </c>
      <c r="D2" s="57" t="s">
        <v>55</v>
      </c>
      <c r="E2" s="58" t="s">
        <v>98</v>
      </c>
      <c r="F2" s="59" t="s">
        <v>99</v>
      </c>
      <c r="G2" s="60">
        <v>1</v>
      </c>
      <c r="H2" s="61">
        <v>100</v>
      </c>
      <c r="I2" s="71"/>
      <c r="J2" s="72" t="str">
        <f>IFERROR(IF(FEMMINE[[#This Row],[TOTALE]]+(IF(FEMMINE[[#This Row],[27-ott]]="",0,LOOKUP(FEMMINE[[#This Row],[27-ott]],Tabella4[1],Tabella4[100])))=0,"",(FEMMINE[[#This Row],[TOTALE]]+(IF(FEMMINE[[#This Row],[27-ott]]="",0,LOOKUP(FEMMINE[[#This Row],[27-ott]],Tabella4[1],Tabella4[100]))))),"")</f>
        <v/>
      </c>
      <c r="K2" s="73" t="str">
        <f>IFERROR(IF(E2=0,"",J2/E2),"")</f>
        <v/>
      </c>
      <c r="M2" s="74"/>
      <c r="N2" s="74"/>
    </row>
    <row r="3" spans="13:14">
      <c r="M3" s="74"/>
      <c r="N3" s="74"/>
    </row>
    <row r="5" spans="1:14">
      <c r="A5" s="62" t="s">
        <v>100</v>
      </c>
      <c r="B5" s="63" t="s">
        <v>101</v>
      </c>
      <c r="C5" s="63" t="s">
        <v>101</v>
      </c>
      <c r="D5" s="63" t="s">
        <v>102</v>
      </c>
      <c r="E5" s="64" t="s">
        <v>103</v>
      </c>
      <c r="F5" s="63" t="s">
        <v>104</v>
      </c>
      <c r="G5" s="65" t="s">
        <v>105</v>
      </c>
      <c r="H5" s="64" t="s">
        <v>100</v>
      </c>
      <c r="I5" s="65" t="s">
        <v>105</v>
      </c>
      <c r="J5" s="64" t="s">
        <v>100</v>
      </c>
      <c r="M5" s="32" t="s">
        <v>106</v>
      </c>
      <c r="N5" s="32" t="s">
        <v>107</v>
      </c>
    </row>
    <row r="6" spans="1:14">
      <c r="A6" s="62" t="s">
        <v>108</v>
      </c>
      <c r="B6" s="63" t="s">
        <v>109</v>
      </c>
      <c r="C6" s="63" t="s">
        <v>110</v>
      </c>
      <c r="D6" s="63" t="s">
        <v>111</v>
      </c>
      <c r="E6" s="64" t="s">
        <v>108</v>
      </c>
      <c r="F6" s="63" t="s">
        <v>112</v>
      </c>
      <c r="G6" s="65" t="s">
        <v>113</v>
      </c>
      <c r="H6" s="64" t="s">
        <v>108</v>
      </c>
      <c r="I6" s="65" t="s">
        <v>113</v>
      </c>
      <c r="J6" s="64" t="s">
        <v>108</v>
      </c>
      <c r="M6" s="32">
        <v>1</v>
      </c>
      <c r="N6" s="32">
        <v>100</v>
      </c>
    </row>
    <row r="7" spans="1:14">
      <c r="A7" s="62" t="s">
        <v>114</v>
      </c>
      <c r="D7" s="63"/>
      <c r="G7" s="65" t="s">
        <v>115</v>
      </c>
      <c r="H7" s="64" t="s">
        <v>116</v>
      </c>
      <c r="I7" s="65" t="s">
        <v>115</v>
      </c>
      <c r="J7" s="64" t="s">
        <v>116</v>
      </c>
      <c r="M7" s="32">
        <v>2</v>
      </c>
      <c r="N7" s="32">
        <v>90</v>
      </c>
    </row>
    <row r="8" spans="1:14">
      <c r="A8" s="62" t="s">
        <v>117</v>
      </c>
      <c r="D8" s="63" t="s">
        <v>118</v>
      </c>
      <c r="G8" s="65"/>
      <c r="H8" s="64" t="s">
        <v>119</v>
      </c>
      <c r="I8" s="65"/>
      <c r="J8" s="64" t="s">
        <v>119</v>
      </c>
      <c r="M8" s="32">
        <v>3</v>
      </c>
      <c r="N8" s="32">
        <v>85</v>
      </c>
    </row>
    <row r="9" spans="4:14">
      <c r="D9" s="63" t="s">
        <v>55</v>
      </c>
      <c r="G9" s="65" t="s">
        <v>120</v>
      </c>
      <c r="H9" s="64" t="s">
        <v>121</v>
      </c>
      <c r="I9" s="65" t="s">
        <v>120</v>
      </c>
      <c r="J9" s="64" t="s">
        <v>121</v>
      </c>
      <c r="M9" s="32">
        <v>4</v>
      </c>
      <c r="N9" s="32">
        <v>80</v>
      </c>
    </row>
    <row r="10" spans="4:14">
      <c r="D10" s="63" t="s">
        <v>52</v>
      </c>
      <c r="G10" s="65" t="s">
        <v>122</v>
      </c>
      <c r="H10" s="64" t="s">
        <v>123</v>
      </c>
      <c r="I10" s="65" t="s">
        <v>122</v>
      </c>
      <c r="J10" s="64" t="s">
        <v>123</v>
      </c>
      <c r="M10" s="32">
        <v>5</v>
      </c>
      <c r="N10" s="32">
        <v>75</v>
      </c>
    </row>
    <row r="11" spans="4:14">
      <c r="D11" s="63" t="s">
        <v>85</v>
      </c>
      <c r="G11" s="65"/>
      <c r="I11" s="65"/>
      <c r="M11" s="32">
        <v>6</v>
      </c>
      <c r="N11" s="32">
        <v>70</v>
      </c>
    </row>
    <row r="12" spans="7:14">
      <c r="G12" s="66" t="s">
        <v>124</v>
      </c>
      <c r="I12" s="66" t="s">
        <v>124</v>
      </c>
      <c r="J12" s="75" t="s">
        <v>125</v>
      </c>
      <c r="M12" s="32">
        <v>7</v>
      </c>
      <c r="N12" s="32">
        <v>67</v>
      </c>
    </row>
    <row r="13" spans="7:14">
      <c r="G13" s="66" t="s">
        <v>126</v>
      </c>
      <c r="I13" s="66" t="s">
        <v>126</v>
      </c>
      <c r="J13" s="76" t="s">
        <v>127</v>
      </c>
      <c r="M13" s="32">
        <v>8</v>
      </c>
      <c r="N13" s="32">
        <v>64</v>
      </c>
    </row>
    <row r="14" spans="7:14">
      <c r="G14" s="66" t="s">
        <v>128</v>
      </c>
      <c r="I14" s="66" t="s">
        <v>128</v>
      </c>
      <c r="J14" s="76" t="s">
        <v>129</v>
      </c>
      <c r="M14" s="32">
        <v>9</v>
      </c>
      <c r="N14" s="32">
        <v>61</v>
      </c>
    </row>
    <row r="15" spans="7:14">
      <c r="G15" s="66" t="s">
        <v>130</v>
      </c>
      <c r="I15" s="66" t="s">
        <v>130</v>
      </c>
      <c r="M15" s="32">
        <v>10</v>
      </c>
      <c r="N15" s="32">
        <v>58</v>
      </c>
    </row>
    <row r="16" spans="13:14">
      <c r="M16" s="32">
        <v>11</v>
      </c>
      <c r="N16" s="32">
        <v>55</v>
      </c>
    </row>
    <row r="17" spans="9:14">
      <c r="I17" s="77" t="s">
        <v>131</v>
      </c>
      <c r="M17" s="32">
        <v>12</v>
      </c>
      <c r="N17" s="32">
        <v>52</v>
      </c>
    </row>
    <row r="18" spans="9:14">
      <c r="I18" s="77" t="s">
        <v>132</v>
      </c>
      <c r="M18" s="32">
        <v>13</v>
      </c>
      <c r="N18" s="32">
        <v>49</v>
      </c>
    </row>
    <row r="19" spans="9:14">
      <c r="I19" s="77" t="s">
        <v>133</v>
      </c>
      <c r="M19" s="32">
        <v>14</v>
      </c>
      <c r="N19" s="32">
        <v>47</v>
      </c>
    </row>
    <row r="20" spans="9:14">
      <c r="I20" s="77" t="s">
        <v>134</v>
      </c>
      <c r="M20" s="32">
        <v>15</v>
      </c>
      <c r="N20" s="32">
        <v>45</v>
      </c>
    </row>
    <row r="21" spans="9:14">
      <c r="I21" s="77" t="s">
        <v>135</v>
      </c>
      <c r="M21" s="32">
        <v>16</v>
      </c>
      <c r="N21" s="32">
        <v>43</v>
      </c>
    </row>
    <row r="22" spans="13:14">
      <c r="M22" s="32">
        <v>17</v>
      </c>
      <c r="N22" s="32">
        <v>41</v>
      </c>
    </row>
    <row r="23" spans="13:14">
      <c r="M23" s="32">
        <v>18</v>
      </c>
      <c r="N23" s="32">
        <v>39</v>
      </c>
    </row>
    <row r="24" spans="13:14">
      <c r="M24" s="32">
        <v>19</v>
      </c>
      <c r="N24" s="32">
        <v>37</v>
      </c>
    </row>
    <row r="25" spans="13:14">
      <c r="M25" s="32">
        <v>20</v>
      </c>
      <c r="N25" s="32">
        <v>35</v>
      </c>
    </row>
    <row r="26" spans="13:14">
      <c r="M26" s="32">
        <v>21</v>
      </c>
      <c r="N26" s="32">
        <v>33</v>
      </c>
    </row>
    <row r="27" spans="13:14">
      <c r="M27" s="32">
        <v>22</v>
      </c>
      <c r="N27" s="32">
        <v>31</v>
      </c>
    </row>
    <row r="28" spans="13:14">
      <c r="M28" s="32">
        <v>23</v>
      </c>
      <c r="N28" s="32">
        <v>29</v>
      </c>
    </row>
    <row r="29" spans="13:14">
      <c r="M29" s="32">
        <v>24</v>
      </c>
      <c r="N29" s="32">
        <v>27</v>
      </c>
    </row>
    <row r="30" spans="13:14">
      <c r="M30" s="32">
        <v>25</v>
      </c>
      <c r="N30" s="32">
        <v>25</v>
      </c>
    </row>
    <row r="31" spans="13:14">
      <c r="M31" s="32">
        <v>26</v>
      </c>
      <c r="N31" s="32">
        <v>23</v>
      </c>
    </row>
    <row r="32" spans="13:14">
      <c r="M32" s="32">
        <v>27</v>
      </c>
      <c r="N32" s="32">
        <v>21</v>
      </c>
    </row>
    <row r="33" spans="13:14">
      <c r="M33" s="32">
        <v>28</v>
      </c>
      <c r="N33" s="32">
        <v>19</v>
      </c>
    </row>
    <row r="34" spans="13:14">
      <c r="M34" s="32">
        <v>29</v>
      </c>
      <c r="N34" s="32">
        <v>17</v>
      </c>
    </row>
    <row r="35" spans="13:14">
      <c r="M35" s="32">
        <v>30</v>
      </c>
      <c r="N35" s="32">
        <v>15</v>
      </c>
    </row>
    <row r="36" spans="13:14">
      <c r="M36" s="32">
        <v>31</v>
      </c>
      <c r="N36" s="32">
        <v>13</v>
      </c>
    </row>
    <row r="37" spans="13:14">
      <c r="M37" s="32">
        <v>32</v>
      </c>
      <c r="N37" s="32">
        <v>12</v>
      </c>
    </row>
    <row r="38" spans="13:14">
      <c r="M38" s="32">
        <v>33</v>
      </c>
      <c r="N38" s="32">
        <v>11</v>
      </c>
    </row>
    <row r="39" spans="13:14">
      <c r="M39" s="32">
        <v>34</v>
      </c>
      <c r="N39" s="32">
        <v>10</v>
      </c>
    </row>
    <row r="40" spans="13:14">
      <c r="M40" s="32">
        <v>35</v>
      </c>
      <c r="N40" s="32">
        <v>9</v>
      </c>
    </row>
    <row r="41" spans="13:14">
      <c r="M41" s="32">
        <v>36</v>
      </c>
      <c r="N41" s="32">
        <v>8</v>
      </c>
    </row>
    <row r="42" spans="13:14">
      <c r="M42" s="32">
        <v>37</v>
      </c>
      <c r="N42" s="32">
        <v>7</v>
      </c>
    </row>
    <row r="43" spans="13:14">
      <c r="M43" s="32">
        <v>38</v>
      </c>
      <c r="N43" s="32">
        <v>6</v>
      </c>
    </row>
    <row r="44" spans="13:14">
      <c r="M44" s="32">
        <v>39</v>
      </c>
      <c r="N44" s="32">
        <v>5</v>
      </c>
    </row>
    <row r="45" spans="13:14">
      <c r="M45" s="32">
        <v>40</v>
      </c>
      <c r="N45" s="32">
        <v>4</v>
      </c>
    </row>
    <row r="46" spans="13:14">
      <c r="M46" s="32" t="s">
        <v>86</v>
      </c>
      <c r="N46" s="32">
        <v>4</v>
      </c>
    </row>
  </sheetData>
  <sheetProtection algorithmName="SHA-512" hashValue="VTaG/tkF7noVXvT4RsB0OlRG5/lZbr9NyaWVwe7xIc89S8CqEAGPWSo7KtegN4JaYTTOLGGTUSAxWASIvJgAaw==" saltValue="5XP/VQm1xdGIZZJSShOyew==" spinCount="100000" sheet="1" objects="1" scenarios="1"/>
  <mergeCells count="1">
    <mergeCell ref="M1:N3"/>
  </mergeCells>
  <conditionalFormatting sqref="G2">
    <cfRule type="containsBlanks" dxfId="25" priority="1">
      <formula>LEN(TRIM(G2))=0</formula>
    </cfRule>
  </conditionalFormatting>
  <dataValidations count="1">
    <dataValidation type="list" allowBlank="1" showInputMessage="1" showErrorMessage="1" sqref="D2">
      <formula1>CATEGORIA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C16" sqref="C16"/>
    </sheetView>
  </sheetViews>
  <sheetFormatPr defaultColWidth="16.7142857142857" defaultRowHeight="15"/>
  <sheetData>
    <row r="1" ht="15.75" spans="1:17">
      <c r="A1" s="1" t="s">
        <v>136</v>
      </c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>
      <c r="A2" s="4"/>
      <c r="B2" s="5"/>
      <c r="C2" s="3"/>
      <c r="D2" s="6" t="s">
        <v>137</v>
      </c>
      <c r="E2" s="7"/>
      <c r="F2" s="6" t="s">
        <v>138</v>
      </c>
      <c r="G2" s="7"/>
      <c r="H2" s="6" t="s">
        <v>139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7"/>
    </row>
    <row r="3" ht="15.75" spans="1:20">
      <c r="A3" s="8"/>
      <c r="B3" s="9"/>
      <c r="C3" s="3"/>
      <c r="D3" s="10" t="s">
        <v>140</v>
      </c>
      <c r="E3" s="11">
        <f>COUNTA(MASCHI[Nome Giocatore])</f>
        <v>7</v>
      </c>
      <c r="F3" s="10" t="s">
        <v>140</v>
      </c>
      <c r="G3" s="11">
        <f>(COUNTA(MASCHI[24-mar],MASCHI[14-apr],MASCHI[12-mag],MASCHI[12-giu],MASCHI[16-giu],MASCHI[25-giu],MASCHI[29-ago],MASCHI[29-set],MASCHI[data9],MASCHI[data10],MASCHI[data11],MASCHI[data12],MASCHI[data13],MASCHI[27-ott]))/'CLASSIFICA MASCHILE 13-14 anni'!T3</f>
        <v>4.25</v>
      </c>
      <c r="H3" s="12"/>
      <c r="I3" s="40">
        <v>2012</v>
      </c>
      <c r="J3" s="40">
        <v>2011</v>
      </c>
      <c r="K3" s="40">
        <v>2010</v>
      </c>
      <c r="L3" s="40">
        <v>2009</v>
      </c>
      <c r="M3" s="40">
        <v>2008</v>
      </c>
      <c r="N3" s="40">
        <v>2007</v>
      </c>
      <c r="O3" s="40">
        <v>2006</v>
      </c>
      <c r="P3" s="40">
        <v>2005</v>
      </c>
      <c r="Q3" s="40">
        <v>2004</v>
      </c>
      <c r="R3" s="40">
        <v>2003</v>
      </c>
      <c r="S3" s="40">
        <v>2002</v>
      </c>
      <c r="T3" s="46">
        <v>2001</v>
      </c>
    </row>
    <row r="4" ht="15.75" spans="1:20">
      <c r="A4" s="3"/>
      <c r="B4" s="3"/>
      <c r="C4" s="3"/>
      <c r="D4" s="10" t="s">
        <v>141</v>
      </c>
      <c r="E4" s="11">
        <f>COUNTA(FEMMINE[Nome Giocatore])</f>
        <v>5</v>
      </c>
      <c r="F4" s="10" t="s">
        <v>141</v>
      </c>
      <c r="G4" s="11">
        <f>(COUNTA(FEMMINE[24-mar],FEMMINE[14-apr],FEMMINE[12-mag],FEMMINE[12-giu],FEMMINE[16-giu],FEMMINE[25-giu],FEMMINE[29-ago],FEMMINE[29-set],FEMMINE[data9],FEMMINE[data10],FEMMINE[data11],FEMMINE[data12],FEMMINE[data13],FEMMINE[27-ott]))/'CLASSIFICA FEMMINILE 13-14 anni'!T3</f>
        <v>3.375</v>
      </c>
      <c r="H4" s="13" t="s">
        <v>142</v>
      </c>
      <c r="I4" s="18">
        <f>COUNTIF(MASCHI[Anno di nascita],'Statistiche per Responsabile'!I3)</f>
        <v>0</v>
      </c>
      <c r="J4" s="18">
        <f>COUNTIF(MASCHI[Qualifica],'Statistiche per Responsabile'!J3)</f>
        <v>0</v>
      </c>
      <c r="K4" s="18">
        <f>COUNTIF(MASCHI[N° Gare],'Statistiche per Responsabile'!K3)</f>
        <v>0</v>
      </c>
      <c r="L4" s="18">
        <f>COUNTIF(MASCHI[Circolo],'Statistiche per Responsabile'!L3)</f>
        <v>0</v>
      </c>
      <c r="M4" s="18">
        <f>COUNTIF(MASCHI[24-mar],'Statistiche per Responsabile'!M3)</f>
        <v>0</v>
      </c>
      <c r="N4" s="18">
        <f>COUNTIF(MASCHI[14-apr],'Statistiche per Responsabile'!N3)</f>
        <v>0</v>
      </c>
      <c r="O4" s="18">
        <f>COUNTIF(MASCHI[12-mag],'Statistiche per Responsabile'!O3)</f>
        <v>0</v>
      </c>
      <c r="P4" s="18">
        <f>COUNTIF(MASCHI[12-giu],'Statistiche per Responsabile'!P3)</f>
        <v>0</v>
      </c>
      <c r="Q4" s="18">
        <f>COUNTIF(MASCHI[16-giu],'Statistiche per Responsabile'!Q3)</f>
        <v>0</v>
      </c>
      <c r="R4" s="18">
        <f>COUNTIF(MASCHI[25-giu],'Statistiche per Responsabile'!R3)</f>
        <v>0</v>
      </c>
      <c r="S4" s="18">
        <f>COUNTIF(MASCHI[29-ago],'Statistiche per Responsabile'!S3)</f>
        <v>0</v>
      </c>
      <c r="T4" s="47">
        <f>COUNTIF(MASCHI[29-set],'Statistiche per Responsabile'!T3)</f>
        <v>0</v>
      </c>
    </row>
    <row r="5" ht="16.5" spans="1:20">
      <c r="A5" s="3"/>
      <c r="B5" s="3"/>
      <c r="C5" s="3"/>
      <c r="D5" s="14" t="s">
        <v>143</v>
      </c>
      <c r="E5" s="15">
        <f>E3+E4</f>
        <v>12</v>
      </c>
      <c r="F5" s="14" t="s">
        <v>143</v>
      </c>
      <c r="G5" s="15">
        <f>AVERAGE(G3:G4)</f>
        <v>3.8125</v>
      </c>
      <c r="H5" s="16" t="s">
        <v>144</v>
      </c>
      <c r="I5" s="41">
        <f>COUNTIF(FEMMINE[Anno di nascita],'Statistiche per Responsabile'!I3)</f>
        <v>0</v>
      </c>
      <c r="J5" s="41">
        <f>COUNTIF(FEMMINE[Qualifica],'Statistiche per Responsabile'!J3)</f>
        <v>0</v>
      </c>
      <c r="K5" s="41">
        <f>COUNTIF(FEMMINE[N° Gare],'Statistiche per Responsabile'!K3)</f>
        <v>0</v>
      </c>
      <c r="L5" s="41">
        <f>COUNTIF(FEMMINE[Circolo],'Statistiche per Responsabile'!L3)</f>
        <v>0</v>
      </c>
      <c r="M5" s="41">
        <f>COUNTIF(FEMMINE[24-mar],'Statistiche per Responsabile'!M3)</f>
        <v>0</v>
      </c>
      <c r="N5" s="41">
        <f>COUNTIF(FEMMINE[14-apr],'Statistiche per Responsabile'!N3)</f>
        <v>0</v>
      </c>
      <c r="O5" s="41">
        <f>COUNTIF(FEMMINE[12-mag],'Statistiche per Responsabile'!O3)</f>
        <v>0</v>
      </c>
      <c r="P5" s="41">
        <f>COUNTIF(FEMMINE[12-giu],'Statistiche per Responsabile'!P3)</f>
        <v>0</v>
      </c>
      <c r="Q5" s="41">
        <f>COUNTIF(FEMMINE[16-giu],'Statistiche per Responsabile'!Q3)</f>
        <v>0</v>
      </c>
      <c r="R5" s="41">
        <f>COUNTIF(FEMMINE[25-giu],'Statistiche per Responsabile'!R3)</f>
        <v>0</v>
      </c>
      <c r="S5" s="41">
        <f>COUNTIF(FEMMINE[29-ago],'Statistiche per Responsabile'!S3)</f>
        <v>0</v>
      </c>
      <c r="T5" s="48">
        <f>COUNTIF(FEMMINE[29-set],'Statistiche per Responsabile'!T3)</f>
        <v>0</v>
      </c>
    </row>
    <row r="6" ht="15.75" spans="1:17">
      <c r="A6" s="3"/>
      <c r="B6" s="3"/>
      <c r="C6" s="3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ht="16.5" spans="1:17">
      <c r="A7" s="3"/>
      <c r="B7" s="3"/>
      <c r="C7" s="3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ht="15.75" spans="1:17">
      <c r="A8" s="3"/>
      <c r="B8" s="3"/>
      <c r="C8" s="3"/>
      <c r="D8" s="6" t="s">
        <v>145</v>
      </c>
      <c r="E8" s="19"/>
      <c r="F8" s="19"/>
      <c r="G8" s="19"/>
      <c r="H8" s="7"/>
      <c r="I8" s="6" t="s">
        <v>146</v>
      </c>
      <c r="J8" s="7"/>
      <c r="K8" s="18"/>
      <c r="L8" s="18"/>
      <c r="M8" s="18"/>
      <c r="N8" s="18"/>
      <c r="O8" s="18"/>
      <c r="P8" s="18"/>
      <c r="Q8" s="18"/>
    </row>
    <row r="9" ht="15.75" spans="1:17">
      <c r="A9" s="3"/>
      <c r="B9" s="3"/>
      <c r="C9" s="3"/>
      <c r="D9" s="20"/>
      <c r="E9" s="21" t="s">
        <v>147</v>
      </c>
      <c r="F9" s="21" t="s">
        <v>55</v>
      </c>
      <c r="G9" s="21" t="s">
        <v>52</v>
      </c>
      <c r="H9" s="11" t="s">
        <v>85</v>
      </c>
      <c r="I9" s="10" t="s">
        <v>140</v>
      </c>
      <c r="J9" s="42">
        <f>AVERAGE(MASCHI[Colonna16])</f>
        <v>3.5</v>
      </c>
      <c r="K9" s="43"/>
      <c r="L9" s="18"/>
      <c r="M9" s="18"/>
      <c r="N9" s="18"/>
      <c r="O9" s="18"/>
      <c r="P9" s="18"/>
      <c r="Q9" s="18"/>
    </row>
    <row r="10" spans="1:17">
      <c r="A10" s="3"/>
      <c r="B10" s="3"/>
      <c r="C10" s="3"/>
      <c r="D10" s="10" t="s">
        <v>140</v>
      </c>
      <c r="E10" s="22">
        <f>COUNTIFS(MASCHI[Qualifica],"")-(COUNTIFS(MASCHI[Qualifica],"",MASCHI[Nome Giocatore],""))</f>
        <v>3</v>
      </c>
      <c r="F10" s="23">
        <f>COUNTIF(MASCHI[Qualifica],"B")</f>
        <v>2</v>
      </c>
      <c r="G10" s="23">
        <f>COUNTIF(MASCHI[Qualifica],"BG")</f>
        <v>2</v>
      </c>
      <c r="H10" s="24">
        <f>COUNTIF(MASCHI[Qualifica],"BN")</f>
        <v>0</v>
      </c>
      <c r="I10" s="10" t="s">
        <v>141</v>
      </c>
      <c r="J10" s="42">
        <f>AVERAGE(FEMMINE[Colonna16])</f>
        <v>2.03809523809524</v>
      </c>
      <c r="K10" s="3"/>
      <c r="L10" s="3"/>
      <c r="M10" s="3"/>
      <c r="N10" s="3"/>
      <c r="O10" s="3"/>
      <c r="P10" s="3"/>
      <c r="Q10" s="3"/>
    </row>
    <row r="11" ht="15.75" spans="1:17">
      <c r="A11" s="3"/>
      <c r="B11" s="3"/>
      <c r="C11" s="3"/>
      <c r="D11" s="10" t="s">
        <v>141</v>
      </c>
      <c r="E11" s="22">
        <f>COUNTIFS(FEMMINE[Qualifica],"")-(COUNTIFS(FEMMINE[Qualifica],"",FEMMINE[Nome Giocatore],""))</f>
        <v>1</v>
      </c>
      <c r="F11" s="23">
        <f>COUNTIF(FEMMINE[Qualifica],"B")</f>
        <v>0</v>
      </c>
      <c r="G11" s="23">
        <f>COUNTIF(FEMMINE[Qualifica],"BG")</f>
        <v>4</v>
      </c>
      <c r="H11" s="24">
        <f>COUNTIF(FEMMINE[Qualifica],"BN")</f>
        <v>0</v>
      </c>
      <c r="I11" s="14" t="s">
        <v>143</v>
      </c>
      <c r="J11" s="44">
        <f>AVERAGE(J9:J10)</f>
        <v>2.76904761904762</v>
      </c>
      <c r="K11" s="45"/>
      <c r="L11" s="45"/>
      <c r="M11" s="45"/>
      <c r="N11" s="45"/>
      <c r="O11" s="45"/>
      <c r="P11" s="45"/>
      <c r="Q11" s="45"/>
    </row>
    <row r="12" ht="15.75" spans="1:17">
      <c r="A12" s="3"/>
      <c r="B12" s="3"/>
      <c r="C12" s="3"/>
      <c r="D12" s="14" t="s">
        <v>143</v>
      </c>
      <c r="E12" s="25">
        <f>E10+E11</f>
        <v>4</v>
      </c>
      <c r="F12" s="25">
        <f>F10+F11</f>
        <v>2</v>
      </c>
      <c r="G12" s="25">
        <f>G10+G11</f>
        <v>6</v>
      </c>
      <c r="H12" s="15">
        <f>H10+H11</f>
        <v>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15.75" spans="1:17">
      <c r="A13" s="3"/>
      <c r="B13" s="3"/>
      <c r="C13" s="3"/>
      <c r="D13" s="17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>
      <c r="A14" s="3"/>
      <c r="B14" s="3"/>
      <c r="C14" s="3"/>
      <c r="D14" s="17"/>
      <c r="E14" s="2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28"/>
      <c r="B15" s="3"/>
      <c r="C15" s="3"/>
      <c r="D15" s="1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29"/>
      <c r="B16" s="3"/>
      <c r="C16" s="30"/>
      <c r="D16" s="1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1"/>
      <c r="B17" s="32"/>
      <c r="C17" s="33"/>
      <c r="D17" s="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>
      <c r="A18" s="31"/>
      <c r="B18" s="34"/>
      <c r="C18" s="33"/>
      <c r="D18" s="1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s="35"/>
      <c r="B19" s="36"/>
      <c r="C19" s="33"/>
      <c r="D19" s="1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2:17">
      <c r="B20" s="37"/>
      <c r="C20" s="38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3"/>
      <c r="B21" s="3"/>
      <c r="C21" s="3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29"/>
      <c r="B22" s="3"/>
      <c r="C22" s="39"/>
      <c r="D22" s="1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1"/>
      <c r="B23" s="34"/>
      <c r="C23" s="33"/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1"/>
      <c r="B24" s="34"/>
      <c r="C24" s="33"/>
      <c r="D24" s="1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5"/>
      <c r="B25" s="36"/>
      <c r="C25" s="33"/>
      <c r="D25" s="1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2:17">
      <c r="B26" s="37"/>
      <c r="C26" s="38"/>
      <c r="D26" s="1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1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3"/>
      <c r="B28" s="3"/>
      <c r="C28" s="3"/>
      <c r="D28" s="1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4:4">
      <c r="D29" s="17"/>
    </row>
  </sheetData>
  <sheetProtection algorithmName="SHA-512" hashValue="98ixFvwywrQtSDLWo+9ITHVLCGAt9kJca9oJIFHflQwqKYD/g9L8hEFsWWueJvrmo5iZmghgptpzQeW2SY9+nQ==" saltValue="oNbr+YCutUbSIhcSbUHI+w==" spinCount="100000" sheet="1" objects="1" scenarios="1"/>
  <mergeCells count="6">
    <mergeCell ref="D2:E2"/>
    <mergeCell ref="F2:G2"/>
    <mergeCell ref="H2:T2"/>
    <mergeCell ref="D8:H8"/>
    <mergeCell ref="I8:J8"/>
    <mergeCell ref="A1:B3"/>
  </mergeCells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11" master="" otherUserPermission="visible"/>
  <rangeList sheetStid="9" master="" otherUserPermission="visible"/>
  <rangeList sheetStid="10" master="" otherUserPermission="visible"/>
  <rangeList sheetStid="12" master="" otherUserPermission="visible"/>
  <rangeList sheetStid="8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CLASSIFICA MASCHILE 13-14 anni</vt:lpstr>
      <vt:lpstr>CLASSIFICA MASCHILE Under 12</vt:lpstr>
      <vt:lpstr>CLASSIFICA FEMMINILE 13-14 anni</vt:lpstr>
      <vt:lpstr>SISTEMA</vt:lpstr>
      <vt:lpstr>CLASSIFICA FEMMINILE Under 12</vt:lpstr>
      <vt:lpstr>Istruzioni</vt:lpstr>
      <vt:lpstr>Statistiche per Responsabile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Massimiliano Schneck</cp:lastModifiedBy>
  <dcterms:created xsi:type="dcterms:W3CDTF">2012-03-12T11:14:00Z</dcterms:created>
  <cp:lastPrinted>2024-04-20T05:58:00Z</cp:lastPrinted>
  <dcterms:modified xsi:type="dcterms:W3CDTF">2024-10-30T08:02:07Z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0BFAFA399DE14214ACB47D246ED19613_12</vt:lpwstr>
  </property>
  <property fmtid="{D5CDD505-2E9C-101B-9397-08002B2CF9AE}" pid="3" name="KSOProductBuildVer">
    <vt:lpwstr>1033-12.2.0.18607</vt:lpwstr>
  </property>
</Properties>
</file>