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wdp" ContentType="image/vnd.ms-photo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firstSheet="3" activeTab="3"/>
  </bookViews>
  <sheets>
    <sheet name="CLASSIFICA MASCHILE vecchia" sheetId="5" state="hidden" r:id="rId1"/>
    <sheet name="CLASSIFICA FEMMINILE vecchia" sheetId="9" state="hidden" r:id="rId2"/>
    <sheet name="SISTEMA" sheetId="10" state="hidden" r:id="rId3"/>
    <sheet name="CLASSIFICA MASCHILE" sheetId="11" r:id="rId4"/>
    <sheet name="CLASSIFICA FEMMINILE" sheetId="12" r:id="rId5"/>
    <sheet name="Istruzioni" sheetId="8" r:id="rId6"/>
    <sheet name="Statistiche per Responsabile" sheetId="7" r:id="rId7"/>
  </sheets>
  <externalReferences>
    <externalReference r:id="rId9"/>
  </externalReferences>
  <definedNames>
    <definedName name="_xlnm._FilterDatabase" localSheetId="4" hidden="1">'CLASSIFICA FEMMINILE'!$D$19:$E$19</definedName>
    <definedName name="_xlnm.Print_Area" localSheetId="3">'CLASSIFICA MASCHILE'!$A$2:$AD$10</definedName>
    <definedName name="_xlnm.Print_Area" localSheetId="0">'CLASSIFICA MASCHILE vecchia'!$A$2:$Y$11</definedName>
    <definedName name="CATEGORIA" localSheetId="4">[1]SISTEMA!$C$3:$C$6</definedName>
    <definedName name="CATEGORIA" localSheetId="3">[1]SISTEMA!$C$3:$C$6</definedName>
    <definedName name="CATEGORIA">SISTEMA!$C$3:$C$6</definedName>
    <definedName name="_xlnm.Print_Titles" localSheetId="3">'CLASSIFICA MASCHILE'!$1:$5</definedName>
    <definedName name="_xlnm.Print_Titles" localSheetId="0">'CLASSIFICA MASCHILE vecchia'!$1:$5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Gianluca</author>
  </authors>
  <commentList>
    <comment ref="C16" authorId="0">
      <text>
        <r>
          <rPr>
            <b/>
            <sz val="9"/>
            <color indexed="10"/>
            <rFont val="Tahoma"/>
            <charset val="134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<sst xmlns="http://schemas.openxmlformats.org/spreadsheetml/2006/main" count="469" uniqueCount="212">
  <si>
    <t>CIRCUITO FEDERALE TEODORO SOLDATI 2021</t>
  </si>
  <si>
    <r>
      <rPr>
        <b/>
        <sz val="20"/>
        <color theme="0" tint="-0.0499893185216834"/>
        <rFont val="Arial Black"/>
        <charset val="134"/>
      </rPr>
      <t xml:space="preserve">CLASSIFICA MASCHILE </t>
    </r>
    <r>
      <rPr>
        <b/>
        <sz val="18"/>
        <color theme="0" tint="-0.0499893185216834"/>
        <rFont val="Arial Black"/>
        <charset val="134"/>
      </rPr>
      <t xml:space="preserve">
</t>
    </r>
    <r>
      <rPr>
        <b/>
        <sz val="14"/>
        <color theme="0" tint="-0.0499893185216834"/>
        <rFont val="Arial Black"/>
        <charset val="134"/>
      </rPr>
      <t>Riservata agli atleti partiti dai battitori gialli</t>
    </r>
  </si>
  <si>
    <t>Zona xx</t>
  </si>
  <si>
    <t>1^ tappa</t>
  </si>
  <si>
    <t>2^ tappa</t>
  </si>
  <si>
    <t>3^ tappa</t>
  </si>
  <si>
    <t>4^ tappa</t>
  </si>
  <si>
    <t>5^ tappa</t>
  </si>
  <si>
    <t>6^ tappa</t>
  </si>
  <si>
    <t>7^ tappa</t>
  </si>
  <si>
    <t>8^ tappa</t>
  </si>
  <si>
    <t>9^ tappa</t>
  </si>
  <si>
    <t>10^ tappa</t>
  </si>
  <si>
    <t>11^ tappa</t>
  </si>
  <si>
    <t>12^ tappa</t>
  </si>
  <si>
    <t>13^ tappa</t>
  </si>
  <si>
    <t>FINALE DEL CIRCUITO</t>
  </si>
  <si>
    <t>PUNTEGGIO FINALE</t>
  </si>
  <si>
    <t>Media
punti</t>
  </si>
  <si>
    <t>Circolo</t>
  </si>
  <si>
    <t>Elenco</t>
  </si>
  <si>
    <t>Nome Giocatore</t>
  </si>
  <si>
    <t>Anno di nascita</t>
  </si>
  <si>
    <t>Qualifica 
(B-BG-BN)</t>
  </si>
  <si>
    <t>N° Gare</t>
  </si>
  <si>
    <t>Circolo di appartenenza</t>
  </si>
  <si>
    <t>data1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</si>
  <si>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</si>
  <si>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</si>
  <si>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</si>
  <si>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</si>
  <si>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</si>
  <si>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</si>
  <si>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</si>
  <si>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</si>
  <si>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</si>
  <si>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</si>
  <si>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</si>
  <si>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</si>
  <si>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TOTALE</t>
  </si>
  <si>
    <t>Colonna16</t>
  </si>
  <si>
    <t xml:space="preserve"> DATA    </t>
  </si>
  <si>
    <t>Colonna18</t>
  </si>
  <si>
    <t>Colonna1</t>
  </si>
  <si>
    <t>Colonna20</t>
  </si>
  <si>
    <t>NOME</t>
  </si>
  <si>
    <t/>
  </si>
  <si>
    <r>
      <rPr>
        <b/>
        <sz val="20"/>
        <color theme="0" tint="-0.0499893185216834"/>
        <rFont val="Arial Black"/>
        <charset val="134"/>
      </rPr>
      <t xml:space="preserve">CLASSIFICA MASCHILE </t>
    </r>
    <r>
      <rPr>
        <b/>
        <sz val="18"/>
        <color theme="0" tint="-0.0499893185216834"/>
        <rFont val="Arial Black"/>
        <charset val="134"/>
      </rPr>
      <t xml:space="preserve">
</t>
    </r>
    <r>
      <rPr>
        <b/>
        <sz val="14"/>
        <color theme="0" tint="-0.0499893185216834"/>
        <rFont val="Arial Black"/>
        <charset val="134"/>
      </rPr>
      <t>Riservata alle atlete partite dai battitori rossi</t>
    </r>
  </si>
  <si>
    <t>B</t>
  </si>
  <si>
    <t>NAZIONALE</t>
  </si>
  <si>
    <t>TABELLA PUNTI</t>
  </si>
  <si>
    <t>ELENCO CATEGORIA</t>
  </si>
  <si>
    <t>1</t>
  </si>
  <si>
    <t>100</t>
  </si>
  <si>
    <t>BG</t>
  </si>
  <si>
    <t>BN</t>
  </si>
  <si>
    <t>DAL 41MO</t>
  </si>
  <si>
    <t>CIRCUITO FEDERALE TEODORO SOLDATI 2024</t>
  </si>
  <si>
    <t>Zona 5</t>
  </si>
  <si>
    <t>Tappa 1</t>
  </si>
  <si>
    <t>Tappa 2</t>
  </si>
  <si>
    <t>Tappa 3</t>
  </si>
  <si>
    <t>Tappa 4</t>
  </si>
  <si>
    <t>Tappa 5</t>
  </si>
  <si>
    <t>Tappa 6</t>
  </si>
  <si>
    <t>Tappa 7</t>
  </si>
  <si>
    <t>Tappa 8</t>
  </si>
  <si>
    <t>Tappa 9</t>
  </si>
  <si>
    <t>Tappa 10</t>
  </si>
  <si>
    <t>Tappa 11</t>
  </si>
  <si>
    <t>Tappa 12</t>
  </si>
  <si>
    <t>Tappa 13</t>
  </si>
  <si>
    <t>Tappa 14</t>
  </si>
  <si>
    <t>Tappa 15</t>
  </si>
  <si>
    <t>Tappa 16</t>
  </si>
  <si>
    <t>Tappa 17</t>
  </si>
  <si>
    <t>Tappa 18</t>
  </si>
  <si>
    <t xml:space="preserve">TOSCANA </t>
  </si>
  <si>
    <t>MONTECATINI</t>
  </si>
  <si>
    <t>PUNTA ALA</t>
  </si>
  <si>
    <t>PAVONIERE</t>
  </si>
  <si>
    <t xml:space="preserve">TIRRENIA </t>
  </si>
  <si>
    <t>TIRRENIA</t>
  </si>
  <si>
    <t>UGOLINO</t>
  </si>
  <si>
    <t>Poggio Medici</t>
  </si>
  <si>
    <t>TOSCANA</t>
  </si>
  <si>
    <t>Circolo 11</t>
  </si>
  <si>
    <t>Circolo 12</t>
  </si>
  <si>
    <t>Circolo 13</t>
  </si>
  <si>
    <t>Circolo 14</t>
  </si>
  <si>
    <t>Circolo 15</t>
  </si>
  <si>
    <t>Circolo 16</t>
  </si>
  <si>
    <t>Circolo 17</t>
  </si>
  <si>
    <t>Circolo 18</t>
  </si>
  <si>
    <t>18-feb</t>
  </si>
  <si>
    <t>29-mar</t>
  </si>
  <si>
    <t>6/7 apr</t>
  </si>
  <si>
    <t>11-giu</t>
  </si>
  <si>
    <t>22/23-giu</t>
  </si>
  <si>
    <t>23-lug</t>
  </si>
  <si>
    <t>31-lug</t>
  </si>
  <si>
    <t>31-ago/01-sett</t>
  </si>
  <si>
    <t>10-set</t>
  </si>
  <si>
    <t>21-22 sett</t>
  </si>
  <si>
    <t>Data 11</t>
  </si>
  <si>
    <t>Data 12</t>
  </si>
  <si>
    <t>Data 13</t>
  </si>
  <si>
    <t>Data 14</t>
  </si>
  <si>
    <t>Data 15</t>
  </si>
  <si>
    <t>Data 16</t>
  </si>
  <si>
    <t>Data 17</t>
  </si>
  <si>
    <t>Data 18</t>
  </si>
  <si>
    <t>CORAPI DANIEL</t>
  </si>
  <si>
    <t>DZIUBA MATTHIAS</t>
  </si>
  <si>
    <t>VANNI DUCCIO</t>
  </si>
  <si>
    <t>ARGENTARIO</t>
  </si>
  <si>
    <t>FRANCESCHINI ALESSANDRO</t>
  </si>
  <si>
    <t>CASTELFALFI</t>
  </si>
  <si>
    <t>BALDACCI LEONARDO</t>
  </si>
  <si>
    <t>TERRENI EDOARDO</t>
  </si>
  <si>
    <t>ORAZZINI GIANMARCO</t>
  </si>
  <si>
    <t>VEZZOSI RAFFAELE</t>
  </si>
  <si>
    <t>BELLOSGUARDO</t>
  </si>
  <si>
    <t>MANZI GIOVANNI ARNOL</t>
  </si>
  <si>
    <t>COMPOSTO RICCARDO</t>
  </si>
  <si>
    <t>BONACCHI EDOARDO</t>
  </si>
  <si>
    <t>BONACCORSI ARTURO</t>
  </si>
  <si>
    <t>BARONCELLI NERI</t>
  </si>
  <si>
    <t>CECCHI PAOLO TOMMASO</t>
  </si>
  <si>
    <t>CECCHI DUCCIO</t>
  </si>
  <si>
    <t>SALERNO MAX</t>
  </si>
  <si>
    <t>SANAPO LORENZO</t>
  </si>
  <si>
    <t>GIANNELLI VITTORIO</t>
  </si>
  <si>
    <t xml:space="preserve">PELLEGRINI MATTIA </t>
  </si>
  <si>
    <t>GIZZI TOMMASO</t>
  </si>
  <si>
    <t>SALOTTI MICHAEL ROBERTO</t>
  </si>
  <si>
    <t>NESTI GIANNI</t>
  </si>
  <si>
    <t xml:space="preserve">PIETROLATI  MATTEO </t>
  </si>
  <si>
    <t>FELICIONI TOMMASO</t>
  </si>
  <si>
    <t>BERTI EMILIO</t>
  </si>
  <si>
    <t>COLOMBI GREGORIO</t>
  </si>
  <si>
    <t>LIVORNO</t>
  </si>
  <si>
    <r>
      <rPr>
        <b/>
        <sz val="20"/>
        <color theme="0" tint="-0.0499893185216834"/>
        <rFont val="Arial Black"/>
        <charset val="134"/>
      </rPr>
      <t xml:space="preserve">CLASSIFICA FEMMINILE </t>
    </r>
    <r>
      <rPr>
        <b/>
        <sz val="18"/>
        <color theme="0" tint="-0.0499893185216834"/>
        <rFont val="Arial Black"/>
        <charset val="134"/>
      </rPr>
      <t xml:space="preserve">
</t>
    </r>
    <r>
      <rPr>
        <b/>
        <sz val="14"/>
        <color theme="0" tint="-0.0499893185216834"/>
        <rFont val="Arial Black"/>
        <charset val="134"/>
      </rPr>
      <t>Riservata alle atlete partite dai battitori rossi</t>
    </r>
  </si>
  <si>
    <t xml:space="preserve">Poggio Medici </t>
  </si>
  <si>
    <t>22/23 giu</t>
  </si>
  <si>
    <t>31-ago/01-set</t>
  </si>
  <si>
    <t>21-22 sett.</t>
  </si>
  <si>
    <t>MELI VITTORIA</t>
  </si>
  <si>
    <t>MOSCHNI CAROLINA FELICIA</t>
  </si>
  <si>
    <t>PIERI SOFIA</t>
  </si>
  <si>
    <t>TACCONI GINEVRA</t>
  </si>
  <si>
    <t>CASENTINO</t>
  </si>
  <si>
    <t>MAIONCHI MATILDE</t>
  </si>
  <si>
    <t>GUERRINI VIOLA</t>
  </si>
  <si>
    <t>FAGGI GUENDALINA</t>
  </si>
  <si>
    <t xml:space="preserve">B </t>
  </si>
  <si>
    <t>MELI ELISABETTA</t>
  </si>
  <si>
    <t>CECCARINI ALLEGRA</t>
  </si>
  <si>
    <t>GRETA RIELLI</t>
  </si>
  <si>
    <t>N° GARE</t>
  </si>
  <si>
    <t>Schema dei Punti: il sistema attribuisce automaticamente questi punteggi</t>
  </si>
  <si>
    <t>MARIO ROSSI</t>
  </si>
  <si>
    <t>AUTOMATICO</t>
  </si>
  <si>
    <t>PROVA</t>
  </si>
  <si>
    <t>CALCOLA</t>
  </si>
  <si>
    <t>INSERIRE</t>
  </si>
  <si>
    <t>SCEGLIERE DALL'ELENCO A</t>
  </si>
  <si>
    <t xml:space="preserve">CALCOLATO </t>
  </si>
  <si>
    <t xml:space="preserve">INSERIRE CIRCOLO </t>
  </si>
  <si>
    <t>INSERIRE LA POSIZIONE</t>
  </si>
  <si>
    <t>Posizione in classifica</t>
  </si>
  <si>
    <t>Punti attribuiti</t>
  </si>
  <si>
    <t>AUTOMATICAMENTE</t>
  </si>
  <si>
    <t>NOME DEL GIOCATORE</t>
  </si>
  <si>
    <t>ANNO DI NASCITA</t>
  </si>
  <si>
    <t xml:space="preserve">DISCESA LA QUALIFICA TRA </t>
  </si>
  <si>
    <t>DI APPARTENENZA</t>
  </si>
  <si>
    <t>FINALE NELLA CLASSIFICA</t>
  </si>
  <si>
    <t>IL NUMERO</t>
  </si>
  <si>
    <t>DEL TORNEO</t>
  </si>
  <si>
    <t>IL PUNTEGGIO DA</t>
  </si>
  <si>
    <t>PROGRESSIVO</t>
  </si>
  <si>
    <t>VUOTO</t>
  </si>
  <si>
    <t>ATTRIBUIRE IN BASE</t>
  </si>
  <si>
    <t>USARE SOLO NUMERI</t>
  </si>
  <si>
    <t>ALLA POSIZIONE</t>
  </si>
  <si>
    <t>INTERI</t>
  </si>
  <si>
    <t>IN CLASSIFICA</t>
  </si>
  <si>
    <t>IN CASO DI PARIMERITO</t>
  </si>
  <si>
    <t>CLASSIFICA FINALE!</t>
  </si>
  <si>
    <t xml:space="preserve">TUTTI I GIOCATORI </t>
  </si>
  <si>
    <t>NON SERVONO INTERVENTI</t>
  </si>
  <si>
    <t xml:space="preserve">PRENDERANNO LO </t>
  </si>
  <si>
    <t>MANUALI</t>
  </si>
  <si>
    <t>STESSO PUNTEGGIO</t>
  </si>
  <si>
    <t>I PUNTI CONSIDERATI</t>
  </si>
  <si>
    <t>SONO AUTOMATICAMENTE</t>
  </si>
  <si>
    <t>MOLTIPLICATI PER</t>
  </si>
  <si>
    <t xml:space="preserve">1,5 COME DA </t>
  </si>
  <si>
    <t>MANUALE AZZURRO</t>
  </si>
  <si>
    <t>Dati statistici x Responsabile</t>
  </si>
  <si>
    <t>PRESENZE TOTALI</t>
  </si>
  <si>
    <t>PRESENZA MEDIA PER GARA</t>
  </si>
  <si>
    <t>N° PRESENZE PER ETA'</t>
  </si>
  <si>
    <t>Maschile</t>
  </si>
  <si>
    <t>Femminile</t>
  </si>
  <si>
    <t>MASCHI</t>
  </si>
  <si>
    <t>Totali</t>
  </si>
  <si>
    <t>FEMMINE</t>
  </si>
  <si>
    <t>PRESENZE B/BG/BN</t>
  </si>
  <si>
    <t>MEDIA N° GARE PER ATLETA</t>
  </si>
  <si>
    <t>NO QUALIFICA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</si>
</sst>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178" formatCode="0.0"/>
  </numFmts>
  <fonts count="118">
    <font>
      <sz val="11"/>
      <color theme="1"/>
      <name val="Calibri"/>
      <charset val="134"/>
      <scheme val="minor"/>
    </font>
    <font>
      <b/>
      <sz val="16"/>
      <color rgb="FF0070C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name val="Arial"/>
      <charset val="134"/>
    </font>
    <font>
      <sz val="9"/>
      <color rgb="FF0070C0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sz val="8"/>
      <color rgb="FF0070C0"/>
      <name val="Calibri"/>
      <charset val="134"/>
      <scheme val="minor"/>
    </font>
    <font>
      <sz val="11"/>
      <color rgb="FF0070C0"/>
      <name val="Calibri"/>
      <charset val="134"/>
      <scheme val="minor"/>
    </font>
    <font>
      <b/>
      <sz val="10"/>
      <color rgb="FFFF0000"/>
      <name val="Arial"/>
      <charset val="134"/>
    </font>
    <font>
      <b/>
      <sz val="8"/>
      <color rgb="FF0070C0"/>
      <name val="Calibri"/>
      <charset val="134"/>
      <scheme val="minor"/>
    </font>
    <font>
      <b/>
      <sz val="10"/>
      <color rgb="FF0070C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0070C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rgb="FF0070C0"/>
      <name val="Arial"/>
      <charset val="134"/>
    </font>
    <font>
      <b/>
      <sz val="10"/>
      <color theme="0"/>
      <name val="Arial"/>
      <charset val="134"/>
    </font>
    <font>
      <b/>
      <sz val="12"/>
      <color theme="0" tint="-0.0499893185216834"/>
      <name val="Arial"/>
      <charset val="134"/>
    </font>
    <font>
      <b/>
      <sz val="14"/>
      <color rgb="FFFF0000"/>
      <name val="Calibri"/>
      <charset val="134"/>
      <scheme val="minor"/>
    </font>
    <font>
      <b/>
      <sz val="12"/>
      <color indexed="8"/>
      <name val="Arial"/>
      <charset val="134"/>
    </font>
    <font>
      <sz val="12"/>
      <color indexed="8"/>
      <name val="Arial"/>
      <charset val="134"/>
    </font>
    <font>
      <b/>
      <sz val="12"/>
      <color rgb="FF0070C0"/>
      <name val="Arial"/>
      <charset val="134"/>
    </font>
    <font>
      <sz val="12"/>
      <color theme="1"/>
      <name val="Calibri"/>
      <charset val="134"/>
      <scheme val="minor"/>
    </font>
    <font>
      <b/>
      <sz val="10"/>
      <color indexed="8"/>
      <name val="Arial"/>
      <charset val="134"/>
    </font>
    <font>
      <b/>
      <sz val="13"/>
      <color rgb="FF0070C0"/>
      <name val="Arial"/>
      <charset val="134"/>
    </font>
    <font>
      <b/>
      <sz val="12"/>
      <name val="Arial"/>
      <charset val="134"/>
    </font>
    <font>
      <b/>
      <sz val="12"/>
      <color theme="0"/>
      <name val="Arial"/>
      <charset val="134"/>
    </font>
    <font>
      <b/>
      <sz val="16"/>
      <name val="Arial"/>
      <charset val="134"/>
    </font>
    <font>
      <b/>
      <sz val="14"/>
      <color rgb="FFFF0000"/>
      <name val="Arial"/>
      <charset val="134"/>
    </font>
    <font>
      <b/>
      <sz val="14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26"/>
      <color theme="0" tint="-0.0499893185216834"/>
      <name val="Arial Black"/>
      <charset val="134"/>
    </font>
    <font>
      <sz val="11"/>
      <color theme="0" tint="-0.0499893185216834"/>
      <name val="Calibri"/>
      <charset val="134"/>
      <scheme val="minor"/>
    </font>
    <font>
      <b/>
      <sz val="11"/>
      <color theme="0" tint="-0.0499893185216834"/>
      <name val="Calibri"/>
      <charset val="134"/>
      <scheme val="minor"/>
    </font>
    <font>
      <b/>
      <sz val="22"/>
      <color theme="0" tint="-0.0499893185216834"/>
      <name val="Arial Black"/>
      <charset val="134"/>
    </font>
    <font>
      <b/>
      <sz val="18"/>
      <color theme="0" tint="-0.0499893185216834"/>
      <name val="Arial Black"/>
      <charset val="134"/>
    </font>
    <font>
      <b/>
      <sz val="20"/>
      <color theme="0" tint="-0.0499893185216834"/>
      <name val="Calibri"/>
      <charset val="134"/>
      <scheme val="minor"/>
    </font>
    <font>
      <b/>
      <sz val="22"/>
      <color theme="0" tint="-0.0499893185216834"/>
      <name val="Arial"/>
      <charset val="134"/>
    </font>
    <font>
      <b/>
      <sz val="14"/>
      <color theme="0" tint="-0.0499893185216834"/>
      <name val="Calibri"/>
      <charset val="134"/>
      <scheme val="minor"/>
    </font>
    <font>
      <b/>
      <sz val="11"/>
      <color rgb="FF0070C0"/>
      <name val="Arial"/>
      <charset val="134"/>
    </font>
    <font>
      <b/>
      <sz val="11"/>
      <color theme="0"/>
      <name val="Arial"/>
      <charset val="134"/>
    </font>
    <font>
      <b/>
      <sz val="14"/>
      <color rgb="FFFF0000"/>
      <name val="Calibri"/>
      <charset val="134"/>
    </font>
    <font>
      <b/>
      <sz val="12"/>
      <color indexed="8"/>
      <name val="Arial"/>
      <charset val="134"/>
    </font>
    <font>
      <b/>
      <sz val="12"/>
      <color rgb="FF0070C0"/>
      <name val="Arial"/>
      <charset val="134"/>
    </font>
    <font>
      <b/>
      <sz val="12"/>
      <name val="Arial"/>
      <charset val="134"/>
    </font>
    <font>
      <b/>
      <sz val="10"/>
      <color indexed="8"/>
      <name val="Arial"/>
      <charset val="134"/>
    </font>
    <font>
      <b/>
      <sz val="11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color rgb="FFFF0000"/>
      <name val="Calibri"/>
      <charset val="134"/>
      <scheme val="minor"/>
    </font>
    <font>
      <b/>
      <sz val="16"/>
      <color rgb="FFFF0000"/>
      <name val="Arial"/>
      <charset val="134"/>
    </font>
    <font>
      <sz val="8"/>
      <color rgb="FF0070C0"/>
      <name val="Arial"/>
      <charset val="134"/>
    </font>
    <font>
      <b/>
      <sz val="14"/>
      <color rgb="FF002060"/>
      <name val="Arial"/>
      <charset val="134"/>
    </font>
    <font>
      <b/>
      <sz val="9"/>
      <color indexed="8"/>
      <name val="Arial"/>
      <charset val="134"/>
    </font>
    <font>
      <b/>
      <sz val="8"/>
      <color indexed="8"/>
      <name val="Arial"/>
      <charset val="134"/>
    </font>
    <font>
      <b/>
      <sz val="8"/>
      <color rgb="FFFF0000"/>
      <name val="Calibri"/>
      <charset val="134"/>
      <scheme val="minor"/>
    </font>
    <font>
      <sz val="8"/>
      <color indexed="8"/>
      <name val="Arial"/>
      <charset val="134"/>
    </font>
    <font>
      <sz val="9"/>
      <color indexed="8"/>
      <name val="Arial"/>
      <charset val="134"/>
    </font>
    <font>
      <b/>
      <sz val="8"/>
      <color rgb="FF0070C0"/>
      <name val="Arial"/>
      <charset val="134"/>
    </font>
    <font>
      <b/>
      <i/>
      <sz val="10"/>
      <color theme="1"/>
      <name val="Arial Black"/>
      <charset val="134"/>
    </font>
    <font>
      <b/>
      <sz val="12"/>
      <color theme="1"/>
      <name val="Arial"/>
      <charset val="134"/>
    </font>
    <font>
      <b/>
      <sz val="16"/>
      <color theme="0" tint="-0.0499893185216834"/>
      <name val="Arial"/>
      <charset val="134"/>
    </font>
    <font>
      <b/>
      <sz val="11"/>
      <color theme="1"/>
      <name val="Arial"/>
      <charset val="134"/>
    </font>
    <font>
      <b/>
      <sz val="11"/>
      <color theme="0" tint="-0.14996795556505"/>
      <name val="Arial"/>
      <charset val="134"/>
    </font>
    <font>
      <b/>
      <sz val="12"/>
      <color rgb="FFFFC000"/>
      <name val="Arial"/>
      <charset val="134"/>
    </font>
    <font>
      <b/>
      <sz val="12"/>
      <color rgb="FFFF0000"/>
      <name val="Arial"/>
      <charset val="134"/>
    </font>
    <font>
      <sz val="11"/>
      <color theme="0" tint="-0.14996795556505"/>
      <name val="Arial"/>
      <charset val="134"/>
    </font>
    <font>
      <sz val="11"/>
      <color theme="1"/>
      <name val="Arial"/>
      <charset val="134"/>
    </font>
    <font>
      <b/>
      <sz val="13"/>
      <color rgb="FF0070C0"/>
      <name val="Arial"/>
      <charset val="134"/>
    </font>
    <font>
      <sz val="11"/>
      <color theme="0" tint="-0.14996795556505"/>
      <name val="Arial"/>
      <charset val="134"/>
    </font>
    <font>
      <sz val="11"/>
      <color theme="1"/>
      <name val="Arial"/>
      <charset val="134"/>
    </font>
    <font>
      <b/>
      <sz val="14"/>
      <color rgb="FFFF0000"/>
      <name val="Arial"/>
      <charset val="134"/>
    </font>
    <font>
      <b/>
      <sz val="14"/>
      <color theme="1"/>
      <name val="Calibri"/>
      <charset val="134"/>
    </font>
    <font>
      <b/>
      <sz val="9.85"/>
      <color indexed="8"/>
      <name val="Arial"/>
      <charset val="134"/>
    </font>
    <font>
      <sz val="11"/>
      <color rgb="FFFF000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22"/>
      <color rgb="FF0070C0"/>
      <name val="Arial Black"/>
      <charset val="134"/>
    </font>
    <font>
      <b/>
      <sz val="20"/>
      <color rgb="FFFF0000"/>
      <name val="Calibri"/>
      <charset val="134"/>
      <scheme val="minor"/>
    </font>
    <font>
      <b/>
      <sz val="14"/>
      <color rgb="FF0070C0"/>
      <name val="Calibri"/>
      <charset val="134"/>
      <scheme val="minor"/>
    </font>
    <font>
      <b/>
      <sz val="11"/>
      <color indexed="8"/>
      <name val="Arial"/>
      <charset val="134"/>
    </font>
    <font>
      <b/>
      <sz val="14"/>
      <color rgb="FFFF0000"/>
      <name val="Calibri"/>
      <charset val="134"/>
    </font>
    <font>
      <b/>
      <sz val="11"/>
      <color rgb="FFFA7D0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1"/>
      <color theme="0" tint="-0.0499893185216834"/>
      <name val="Arial"/>
      <charset val="134"/>
    </font>
    <font>
      <b/>
      <sz val="11"/>
      <color rgb="FFFFC000"/>
      <name val="Arial"/>
      <charset val="134"/>
    </font>
    <font>
      <b/>
      <sz val="11"/>
      <color rgb="FFFF0000"/>
      <name val="Arial"/>
      <charset val="134"/>
    </font>
    <font>
      <sz val="8"/>
      <color theme="0" tint="-0.14996795556505"/>
      <name val="Arial"/>
      <charset val="134"/>
    </font>
    <font>
      <b/>
      <sz val="14"/>
      <color theme="1"/>
      <name val="Calibri"/>
      <charset val="134"/>
    </font>
    <font>
      <sz val="8"/>
      <color theme="0" tint="-0.14996795556505"/>
      <name val="Arial"/>
      <charset val="134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sz val="10"/>
      <color indexed="8"/>
      <name val="Arial"/>
      <charset val="134"/>
    </font>
    <font>
      <sz val="8"/>
      <color rgb="FFFF0000"/>
      <name val="Arial"/>
      <charset val="134"/>
    </font>
    <font>
      <b/>
      <sz val="9"/>
      <color rgb="FFFF0000"/>
      <name val="Arial"/>
      <charset val="134"/>
    </font>
    <font>
      <sz val="9"/>
      <color rgb="FFFF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20"/>
      <color theme="0" tint="-0.0499893185216834"/>
      <name val="Arial Black"/>
      <charset val="134"/>
    </font>
    <font>
      <b/>
      <sz val="14"/>
      <color theme="0" tint="-0.0499893185216834"/>
      <name val="Arial Black"/>
      <charset val="134"/>
    </font>
    <font>
      <b/>
      <sz val="9"/>
      <color indexed="10"/>
      <name val="Tahoma"/>
      <charset val="134"/>
    </font>
  </fonts>
  <fills count="51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DE10C1"/>
        <bgColor indexed="6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theme="4" tint="0.799951170384838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 tint="0.399945066682943"/>
      </left>
      <right/>
      <top/>
      <bottom style="thin">
        <color theme="4" tint="0.399945066682943"/>
      </bottom>
      <diagonal/>
    </border>
    <border>
      <left/>
      <right/>
      <top/>
      <bottom style="thin">
        <color theme="4" tint="0.399945066682943"/>
      </bottom>
      <diagonal/>
    </border>
    <border>
      <left style="thin">
        <color theme="4" tint="0.399945066682943"/>
      </left>
      <right/>
      <top style="thin">
        <color theme="4" tint="0.399945066682943"/>
      </top>
      <bottom style="thin">
        <color theme="4" tint="0.399945066682943"/>
      </bottom>
      <diagonal/>
    </border>
    <border>
      <left/>
      <right/>
      <top style="thin">
        <color theme="4" tint="0.399945066682943"/>
      </top>
      <bottom style="thin">
        <color theme="4" tint="0.39994506668294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96" fillId="0" borderId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0" fillId="20" borderId="33" applyNumberFormat="0" applyFon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34" applyNumberFormat="0" applyFill="0" applyAlignment="0" applyProtection="0">
      <alignment vertical="center"/>
    </xf>
    <xf numFmtId="0" fontId="103" fillId="0" borderId="34" applyNumberFormat="0" applyFill="0" applyAlignment="0" applyProtection="0">
      <alignment vertical="center"/>
    </xf>
    <xf numFmtId="0" fontId="104" fillId="0" borderId="35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21" borderId="27" applyNumberFormat="0" applyAlignment="0" applyProtection="0">
      <alignment vertical="center"/>
    </xf>
    <xf numFmtId="0" fontId="106" fillId="22" borderId="36" applyNumberFormat="0" applyAlignment="0" applyProtection="0">
      <alignment vertical="center"/>
    </xf>
    <xf numFmtId="0" fontId="82" fillId="17" borderId="27" applyNumberFormat="0" applyAlignment="0" applyProtection="0"/>
    <xf numFmtId="0" fontId="107" fillId="23" borderId="37" applyNumberFormat="0" applyAlignment="0" applyProtection="0">
      <alignment vertical="center"/>
    </xf>
    <xf numFmtId="0" fontId="108" fillId="0" borderId="38" applyNumberFormat="0" applyFill="0" applyAlignment="0" applyProtection="0">
      <alignment vertical="center"/>
    </xf>
    <xf numFmtId="0" fontId="109" fillId="0" borderId="39" applyNumberFormat="0" applyFill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1" fillId="25" borderId="0" applyNumberFormat="0" applyBorder="0" applyAlignment="0" applyProtection="0">
      <alignment vertical="center"/>
    </xf>
    <xf numFmtId="0" fontId="112" fillId="26" borderId="0" applyNumberFormat="0" applyBorder="0" applyAlignment="0" applyProtection="0">
      <alignment vertical="center"/>
    </xf>
    <xf numFmtId="0" fontId="113" fillId="27" borderId="0" applyNumberFormat="0" applyBorder="0" applyAlignment="0" applyProtection="0">
      <alignment vertical="center"/>
    </xf>
    <xf numFmtId="0" fontId="114" fillId="28" borderId="0" applyNumberFormat="0" applyBorder="0" applyAlignment="0" applyProtection="0">
      <alignment vertical="center"/>
    </xf>
    <xf numFmtId="0" fontId="114" fillId="29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1" borderId="0" applyNumberFormat="0" applyBorder="0" applyAlignment="0" applyProtection="0">
      <alignment vertical="center"/>
    </xf>
    <xf numFmtId="0" fontId="114" fillId="32" borderId="0" applyNumberFormat="0" applyBorder="0" applyAlignment="0" applyProtection="0">
      <alignment vertical="center"/>
    </xf>
    <xf numFmtId="0" fontId="114" fillId="33" borderId="0" applyNumberFormat="0" applyBorder="0" applyAlignment="0" applyProtection="0">
      <alignment vertical="center"/>
    </xf>
    <xf numFmtId="0" fontId="113" fillId="34" borderId="0" applyNumberFormat="0" applyBorder="0" applyAlignment="0" applyProtection="0">
      <alignment vertical="center"/>
    </xf>
    <xf numFmtId="0" fontId="113" fillId="35" borderId="0" applyNumberFormat="0" applyBorder="0" applyAlignment="0" applyProtection="0">
      <alignment vertical="center"/>
    </xf>
    <xf numFmtId="0" fontId="114" fillId="36" borderId="0" applyNumberFormat="0" applyBorder="0" applyAlignment="0" applyProtection="0">
      <alignment vertical="center"/>
    </xf>
    <xf numFmtId="0" fontId="114" fillId="37" borderId="0" applyNumberFormat="0" applyBorder="0" applyAlignment="0" applyProtection="0">
      <alignment vertical="center"/>
    </xf>
    <xf numFmtId="0" fontId="113" fillId="38" borderId="0" applyNumberFormat="0" applyBorder="0" applyAlignment="0" applyProtection="0">
      <alignment vertical="center"/>
    </xf>
    <xf numFmtId="0" fontId="113" fillId="39" borderId="0" applyNumberFormat="0" applyBorder="0" applyAlignment="0" applyProtection="0">
      <alignment vertical="center"/>
    </xf>
    <xf numFmtId="0" fontId="114" fillId="40" borderId="0" applyNumberFormat="0" applyBorder="0" applyAlignment="0" applyProtection="0">
      <alignment vertical="center"/>
    </xf>
    <xf numFmtId="0" fontId="114" fillId="41" borderId="0" applyNumberFormat="0" applyBorder="0" applyAlignment="0" applyProtection="0">
      <alignment vertical="center"/>
    </xf>
    <xf numFmtId="0" fontId="113" fillId="42" borderId="0" applyNumberFormat="0" applyBorder="0" applyAlignment="0" applyProtection="0">
      <alignment vertical="center"/>
    </xf>
    <xf numFmtId="0" fontId="113" fillId="43" borderId="0" applyNumberFormat="0" applyBorder="0" applyAlignment="0" applyProtection="0">
      <alignment vertical="center"/>
    </xf>
    <xf numFmtId="0" fontId="114" fillId="44" borderId="0" applyNumberFormat="0" applyBorder="0" applyAlignment="0" applyProtection="0">
      <alignment vertical="center"/>
    </xf>
    <xf numFmtId="0" fontId="114" fillId="45" borderId="0" applyNumberFormat="0" applyBorder="0" applyAlignment="0" applyProtection="0">
      <alignment vertical="center"/>
    </xf>
    <xf numFmtId="0" fontId="113" fillId="46" borderId="0" applyNumberFormat="0" applyBorder="0" applyAlignment="0" applyProtection="0">
      <alignment vertical="center"/>
    </xf>
    <xf numFmtId="0" fontId="113" fillId="47" borderId="0" applyNumberFormat="0" applyBorder="0" applyAlignment="0" applyProtection="0">
      <alignment vertical="center"/>
    </xf>
    <xf numFmtId="0" fontId="114" fillId="48" borderId="0" applyNumberFormat="0" applyBorder="0" applyAlignment="0" applyProtection="0">
      <alignment vertical="center"/>
    </xf>
    <xf numFmtId="0" fontId="114" fillId="49" borderId="0" applyNumberFormat="0" applyBorder="0" applyAlignment="0" applyProtection="0">
      <alignment vertical="center"/>
    </xf>
    <xf numFmtId="0" fontId="113" fillId="50" borderId="0" applyNumberFormat="0" applyBorder="0" applyAlignment="0" applyProtection="0">
      <alignment vertical="center"/>
    </xf>
  </cellStyleXfs>
  <cellXfs count="3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9" fontId="5" fillId="0" borderId="0" xfId="3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78" fontId="2" fillId="0" borderId="6" xfId="0" applyNumberFormat="1" applyFont="1" applyBorder="1" applyAlignment="1">
      <alignment horizontal="center"/>
    </xf>
    <xf numFmtId="9" fontId="7" fillId="0" borderId="0" xfId="3" applyFont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16" fontId="17" fillId="3" borderId="9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1" fontId="22" fillId="5" borderId="9" xfId="0" applyNumberFormat="1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11" fillId="7" borderId="0" xfId="0" applyFont="1" applyFill="1"/>
    <xf numFmtId="16" fontId="26" fillId="8" borderId="9" xfId="0" applyNumberFormat="1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vertical="center" wrapText="1"/>
    </xf>
    <xf numFmtId="16" fontId="28" fillId="8" borderId="11" xfId="0" applyNumberFormat="1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/>
    </xf>
    <xf numFmtId="1" fontId="29" fillId="5" borderId="9" xfId="0" applyNumberFormat="1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16" fontId="28" fillId="8" borderId="0" xfId="0" applyNumberFormat="1" applyFont="1" applyFill="1" applyAlignment="1">
      <alignment horizontal="center" vertical="center" wrapText="1"/>
    </xf>
    <xf numFmtId="0" fontId="31" fillId="9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0" xfId="0" applyFont="1" applyFill="1"/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center" vertical="center" wrapText="1"/>
    </xf>
    <xf numFmtId="0" fontId="34" fillId="12" borderId="0" xfId="0" applyFont="1" applyFill="1" applyAlignment="1">
      <alignment vertical="center"/>
    </xf>
    <xf numFmtId="0" fontId="35" fillId="12" borderId="0" xfId="0" applyFont="1" applyFill="1" applyAlignment="1">
      <alignment vertical="center"/>
    </xf>
    <xf numFmtId="0" fontId="34" fillId="12" borderId="0" xfId="0" applyFont="1" applyFill="1" applyAlignment="1">
      <alignment horizontal="center" vertical="center"/>
    </xf>
    <xf numFmtId="0" fontId="36" fillId="12" borderId="0" xfId="0" applyFont="1" applyFill="1" applyAlignment="1">
      <alignment horizontal="right" vertical="center"/>
    </xf>
    <xf numFmtId="0" fontId="36" fillId="12" borderId="0" xfId="0" applyFont="1" applyFill="1" applyAlignment="1">
      <alignment vertical="center"/>
    </xf>
    <xf numFmtId="0" fontId="37" fillId="13" borderId="14" xfId="0" applyFont="1" applyFill="1" applyBorder="1" applyAlignment="1">
      <alignment horizontal="center" vertical="center" wrapText="1"/>
    </xf>
    <xf numFmtId="0" fontId="37" fillId="13" borderId="11" xfId="0" applyFont="1" applyFill="1" applyBorder="1" applyAlignment="1">
      <alignment horizontal="center" vertical="center" wrapText="1"/>
    </xf>
    <xf numFmtId="0" fontId="37" fillId="13" borderId="15" xfId="0" applyFont="1" applyFill="1" applyBorder="1" applyAlignment="1">
      <alignment horizontal="center" vertical="center" wrapText="1"/>
    </xf>
    <xf numFmtId="0" fontId="38" fillId="12" borderId="0" xfId="0" applyFont="1" applyFill="1" applyAlignment="1">
      <alignment vertical="center"/>
    </xf>
    <xf numFmtId="0" fontId="39" fillId="13" borderId="14" xfId="0" applyFont="1" applyFill="1" applyBorder="1" applyAlignment="1">
      <alignment horizontal="center" vertical="center"/>
    </xf>
    <xf numFmtId="0" fontId="39" fillId="13" borderId="11" xfId="0" applyFont="1" applyFill="1" applyBorder="1" applyAlignment="1">
      <alignment horizontal="center" vertical="center"/>
    </xf>
    <xf numFmtId="0" fontId="37" fillId="13" borderId="16" xfId="0" applyFont="1" applyFill="1" applyBorder="1" applyAlignment="1">
      <alignment horizontal="center" vertical="center" wrapText="1"/>
    </xf>
    <xf numFmtId="0" fontId="37" fillId="13" borderId="0" xfId="0" applyFont="1" applyFill="1" applyAlignment="1">
      <alignment horizontal="center" vertical="center" wrapText="1"/>
    </xf>
    <xf numFmtId="0" fontId="37" fillId="13" borderId="17" xfId="0" applyFont="1" applyFill="1" applyBorder="1" applyAlignment="1">
      <alignment horizontal="center" vertical="center" wrapText="1"/>
    </xf>
    <xf numFmtId="0" fontId="40" fillId="12" borderId="0" xfId="0" applyFont="1" applyFill="1" applyAlignment="1">
      <alignment vertical="center"/>
    </xf>
    <xf numFmtId="0" fontId="39" fillId="13" borderId="18" xfId="0" applyFont="1" applyFill="1" applyBorder="1" applyAlignment="1">
      <alignment horizontal="center" vertical="center"/>
    </xf>
    <xf numFmtId="0" fontId="39" fillId="13" borderId="19" xfId="0" applyFont="1" applyFill="1" applyBorder="1" applyAlignment="1">
      <alignment horizontal="center" vertical="center"/>
    </xf>
    <xf numFmtId="0" fontId="37" fillId="13" borderId="18" xfId="0" applyFont="1" applyFill="1" applyBorder="1" applyAlignment="1">
      <alignment horizontal="center" vertical="center" wrapText="1"/>
    </xf>
    <xf numFmtId="0" fontId="37" fillId="13" borderId="19" xfId="0" applyFont="1" applyFill="1" applyBorder="1" applyAlignment="1">
      <alignment horizontal="center" vertical="center" wrapText="1"/>
    </xf>
    <xf numFmtId="0" fontId="37" fillId="13" borderId="2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/>
    </xf>
    <xf numFmtId="16" fontId="17" fillId="3" borderId="22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/>
    </xf>
    <xf numFmtId="16" fontId="42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 readingOrder="1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1" fontId="22" fillId="0" borderId="9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0" fontId="43" fillId="0" borderId="9" xfId="0" applyNumberFormat="1" applyFont="1" applyBorder="1" applyAlignment="1">
      <alignment horizontal="center" vertical="center"/>
    </xf>
    <xf numFmtId="0" fontId="44" fillId="0" borderId="9" xfId="0" applyFont="1" applyBorder="1" applyAlignment="1" applyProtection="1">
      <alignment horizontal="center" vertical="center" readingOrder="1"/>
      <protection locked="0"/>
    </xf>
    <xf numFmtId="0" fontId="44" fillId="0" borderId="9" xfId="0" applyFont="1" applyBorder="1" applyAlignment="1" applyProtection="1">
      <alignment horizontal="center" vertical="center"/>
      <protection locked="0"/>
    </xf>
    <xf numFmtId="1" fontId="45" fillId="0" borderId="9" xfId="0" applyNumberFormat="1" applyFont="1" applyBorder="1" applyAlignment="1">
      <alignment horizontal="center" vertical="center"/>
    </xf>
    <xf numFmtId="1" fontId="46" fillId="0" borderId="9" xfId="0" applyNumberFormat="1" applyFont="1" applyBorder="1" applyAlignment="1">
      <alignment horizontal="center" vertical="center"/>
    </xf>
    <xf numFmtId="0" fontId="47" fillId="0" borderId="9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 readingOrder="1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1" fontId="22" fillId="0" borderId="15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0" fontId="24" fillId="0" borderId="22" xfId="0" applyFont="1" applyBorder="1" applyAlignment="1" applyProtection="1">
      <alignment horizontal="center" vertical="center"/>
      <protection locked="0"/>
    </xf>
    <xf numFmtId="0" fontId="43" fillId="0" borderId="22" xfId="0" applyNumberFormat="1" applyFont="1" applyBorder="1" applyAlignment="1">
      <alignment horizontal="center" vertical="center"/>
    </xf>
    <xf numFmtId="0" fontId="44" fillId="0" borderId="14" xfId="0" applyFont="1" applyBorder="1" applyAlignment="1" applyProtection="1">
      <alignment horizontal="center" vertical="center" readingOrder="1"/>
      <protection locked="0"/>
    </xf>
    <xf numFmtId="0" fontId="44" fillId="0" borderId="14" xfId="0" applyFont="1" applyBorder="1" applyAlignment="1" applyProtection="1">
      <alignment horizontal="center" vertical="center"/>
      <protection locked="0"/>
    </xf>
    <xf numFmtId="0" fontId="44" fillId="0" borderId="15" xfId="0" applyFont="1" applyBorder="1" applyAlignment="1" applyProtection="1">
      <alignment horizontal="center" vertical="center"/>
      <protection locked="0"/>
    </xf>
    <xf numFmtId="1" fontId="45" fillId="0" borderId="15" xfId="0" applyNumberFormat="1" applyFont="1" applyBorder="1" applyAlignment="1">
      <alignment horizontal="center" vertical="center"/>
    </xf>
    <xf numFmtId="1" fontId="46" fillId="0" borderId="22" xfId="0" applyNumberFormat="1" applyFont="1" applyBorder="1" applyAlignment="1">
      <alignment horizontal="center" vertical="center"/>
    </xf>
    <xf numFmtId="0" fontId="47" fillId="0" borderId="22" xfId="0" applyFont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3" fillId="0" borderId="0" xfId="0" applyFont="1" applyAlignment="1">
      <alignment vertical="center"/>
    </xf>
    <xf numFmtId="9" fontId="32" fillId="0" borderId="0" xfId="3" applyFont="1" applyFill="1" applyAlignment="1" applyProtection="1">
      <alignment horizontal="center" vertical="center"/>
    </xf>
    <xf numFmtId="0" fontId="54" fillId="0" borderId="0" xfId="0" applyFont="1" applyAlignment="1">
      <alignment horizontal="center" vertical="center"/>
    </xf>
    <xf numFmtId="9" fontId="50" fillId="0" borderId="0" xfId="3" applyFont="1" applyFill="1" applyAlignment="1" applyProtection="1">
      <alignment horizontal="left" vertical="center"/>
    </xf>
    <xf numFmtId="0" fontId="55" fillId="0" borderId="0" xfId="0" applyFont="1" applyAlignment="1">
      <alignment vertical="center" wrapText="1" readingOrder="1"/>
    </xf>
    <xf numFmtId="9" fontId="14" fillId="0" borderId="0" xfId="3" applyFont="1" applyFill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56" fillId="0" borderId="0" xfId="3" applyFont="1" applyFill="1" applyAlignment="1" applyProtection="1">
      <alignment horizontal="center" vertical="center"/>
    </xf>
    <xf numFmtId="0" fontId="57" fillId="0" borderId="0" xfId="0" applyFont="1" applyAlignment="1">
      <alignment horizontal="center" vertical="center" wrapText="1" readingOrder="1"/>
    </xf>
    <xf numFmtId="0" fontId="58" fillId="0" borderId="0" xfId="0" applyFont="1" applyAlignment="1">
      <alignment horizontal="center" vertical="center"/>
    </xf>
    <xf numFmtId="0" fontId="57" fillId="0" borderId="0" xfId="0" applyFont="1" applyAlignment="1">
      <alignment vertical="center" wrapText="1" readingOrder="1"/>
    </xf>
    <xf numFmtId="16" fontId="42" fillId="3" borderId="22" xfId="0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center" vertical="center"/>
    </xf>
    <xf numFmtId="16" fontId="17" fillId="3" borderId="9" xfId="0" applyNumberFormat="1" applyFont="1" applyFill="1" applyBorder="1" applyAlignment="1" applyProtection="1">
      <alignment horizontal="center" vertical="center"/>
      <protection locked="0"/>
    </xf>
    <xf numFmtId="16" fontId="42" fillId="3" borderId="21" xfId="0" applyNumberFormat="1" applyFont="1" applyFill="1" applyBorder="1" applyAlignment="1" applyProtection="1">
      <alignment horizontal="center" vertical="center"/>
      <protection locked="0"/>
    </xf>
    <xf numFmtId="0" fontId="33" fillId="11" borderId="23" xfId="0" applyFont="1" applyFill="1" applyBorder="1" applyAlignment="1">
      <alignment horizontal="center" vertical="center" wrapText="1"/>
    </xf>
    <xf numFmtId="0" fontId="39" fillId="13" borderId="15" xfId="0" applyFont="1" applyFill="1" applyBorder="1" applyAlignment="1">
      <alignment horizontal="center" vertical="center"/>
    </xf>
    <xf numFmtId="0" fontId="39" fillId="13" borderId="20" xfId="0" applyFont="1" applyFill="1" applyBorder="1" applyAlignment="1">
      <alignment horizontal="center" vertical="center"/>
    </xf>
    <xf numFmtId="0" fontId="27" fillId="13" borderId="24" xfId="0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center" vertical="center"/>
    </xf>
    <xf numFmtId="0" fontId="60" fillId="8" borderId="24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61" fillId="2" borderId="9" xfId="0" applyFont="1" applyFill="1" applyBorder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27" fillId="13" borderId="21" xfId="0" applyFont="1" applyFill="1" applyBorder="1" applyAlignment="1">
      <alignment horizontal="center" vertical="center" wrapText="1"/>
    </xf>
    <xf numFmtId="0" fontId="63" fillId="2" borderId="0" xfId="0" applyFont="1" applyFill="1" applyAlignment="1">
      <alignment horizontal="center" vertical="center"/>
    </xf>
    <xf numFmtId="0" fontId="60" fillId="8" borderId="21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/>
    </xf>
    <xf numFmtId="16" fontId="65" fillId="8" borderId="21" xfId="0" applyNumberFormat="1" applyFont="1" applyFill="1" applyBorder="1" applyAlignment="1" applyProtection="1">
      <alignment horizontal="center" vertical="center"/>
      <protection locked="0"/>
    </xf>
    <xf numFmtId="0" fontId="64" fillId="2" borderId="21" xfId="0" applyFont="1" applyFill="1" applyBorder="1" applyAlignment="1">
      <alignment horizontal="center" vertical="center"/>
    </xf>
    <xf numFmtId="0" fontId="66" fillId="9" borderId="21" xfId="0" applyFont="1" applyFill="1" applyBorder="1" applyAlignment="1">
      <alignment vertical="center" wrapText="1"/>
    </xf>
    <xf numFmtId="0" fontId="61" fillId="10" borderId="9" xfId="0" applyFont="1" applyFill="1" applyBorder="1" applyAlignment="1">
      <alignment vertical="center" wrapText="1"/>
    </xf>
    <xf numFmtId="1" fontId="25" fillId="0" borderId="9" xfId="0" applyNumberFormat="1" applyFont="1" applyBorder="1" applyAlignment="1">
      <alignment horizontal="center" vertical="center"/>
    </xf>
    <xf numFmtId="2" fontId="67" fillId="2" borderId="9" xfId="0" applyNumberFormat="1" applyFont="1" applyFill="1" applyBorder="1" applyAlignment="1">
      <alignment vertical="center"/>
    </xf>
    <xf numFmtId="1" fontId="24" fillId="0" borderId="9" xfId="0" applyNumberFormat="1" applyFont="1" applyBorder="1" applyAlignment="1" applyProtection="1">
      <alignment horizontal="center" vertical="center"/>
      <protection locked="0"/>
    </xf>
    <xf numFmtId="1" fontId="68" fillId="2" borderId="9" xfId="0" applyNumberFormat="1" applyFont="1" applyFill="1" applyBorder="1" applyAlignment="1">
      <alignment vertical="center"/>
    </xf>
    <xf numFmtId="1" fontId="29" fillId="0" borderId="9" xfId="0" applyNumberFormat="1" applyFont="1" applyBorder="1" applyAlignment="1">
      <alignment horizontal="center" vertical="center"/>
    </xf>
    <xf numFmtId="1" fontId="69" fillId="0" borderId="9" xfId="0" applyNumberFormat="1" applyFont="1" applyBorder="1" applyAlignment="1">
      <alignment horizontal="center" vertical="center"/>
    </xf>
    <xf numFmtId="2" fontId="70" fillId="2" borderId="9" xfId="0" applyNumberFormat="1" applyFont="1" applyFill="1" applyBorder="1" applyAlignment="1">
      <alignment vertical="center"/>
    </xf>
    <xf numFmtId="1" fontId="47" fillId="0" borderId="9" xfId="0" applyNumberFormat="1" applyFont="1" applyBorder="1" applyAlignment="1" applyProtection="1">
      <alignment horizontal="center" vertical="center"/>
      <protection locked="0"/>
    </xf>
    <xf numFmtId="1" fontId="71" fillId="2" borderId="9" xfId="0" applyNumberFormat="1" applyFont="1" applyFill="1" applyBorder="1" applyAlignment="1">
      <alignment vertical="center"/>
    </xf>
    <xf numFmtId="1" fontId="72" fillId="0" borderId="9" xfId="0" applyNumberFormat="1" applyFont="1" applyBorder="1" applyAlignment="1">
      <alignment horizontal="center" vertical="center"/>
    </xf>
    <xf numFmtId="1" fontId="73" fillId="2" borderId="9" xfId="0" applyNumberFormat="1" applyFont="1" applyFill="1" applyBorder="1" applyAlignment="1">
      <alignment horizontal="center" vertical="center"/>
    </xf>
    <xf numFmtId="1" fontId="25" fillId="0" borderId="22" xfId="0" applyNumberFormat="1" applyFont="1" applyBorder="1" applyAlignment="1">
      <alignment horizontal="center" vertical="center"/>
    </xf>
    <xf numFmtId="2" fontId="67" fillId="2" borderId="22" xfId="0" applyNumberFormat="1" applyFont="1" applyFill="1" applyBorder="1" applyAlignment="1">
      <alignment vertical="center"/>
    </xf>
    <xf numFmtId="1" fontId="24" fillId="0" borderId="22" xfId="0" applyNumberFormat="1" applyFont="1" applyBorder="1" applyAlignment="1" applyProtection="1">
      <alignment horizontal="center" vertical="center"/>
      <protection locked="0"/>
    </xf>
    <xf numFmtId="1" fontId="68" fillId="2" borderId="22" xfId="0" applyNumberFormat="1" applyFont="1" applyFill="1" applyBorder="1" applyAlignment="1">
      <alignment vertical="center"/>
    </xf>
    <xf numFmtId="1" fontId="29" fillId="0" borderId="22" xfId="0" applyNumberFormat="1" applyFont="1" applyBorder="1" applyAlignment="1">
      <alignment horizontal="center" vertical="center"/>
    </xf>
    <xf numFmtId="1" fontId="30" fillId="2" borderId="14" xfId="0" applyNumberFormat="1" applyFont="1" applyFill="1" applyBorder="1" applyAlignment="1">
      <alignment horizontal="center" vertical="center"/>
    </xf>
    <xf numFmtId="1" fontId="69" fillId="0" borderId="22" xfId="0" applyNumberFormat="1" applyFont="1" applyBorder="1" applyAlignment="1">
      <alignment horizontal="center" vertical="center"/>
    </xf>
    <xf numFmtId="2" fontId="70" fillId="2" borderId="22" xfId="0" applyNumberFormat="1" applyFont="1" applyFill="1" applyBorder="1" applyAlignment="1">
      <alignment vertical="center"/>
    </xf>
    <xf numFmtId="1" fontId="47" fillId="0" borderId="22" xfId="0" applyNumberFormat="1" applyFont="1" applyBorder="1" applyAlignment="1" applyProtection="1">
      <alignment horizontal="center" vertical="center"/>
      <protection locked="0"/>
    </xf>
    <xf numFmtId="1" fontId="71" fillId="2" borderId="22" xfId="0" applyNumberFormat="1" applyFont="1" applyFill="1" applyBorder="1" applyAlignment="1">
      <alignment vertical="center"/>
    </xf>
    <xf numFmtId="1" fontId="72" fillId="0" borderId="22" xfId="0" applyNumberFormat="1" applyFont="1" applyBorder="1" applyAlignment="1">
      <alignment horizontal="center" vertical="center"/>
    </xf>
    <xf numFmtId="1" fontId="73" fillId="2" borderId="14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0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12" borderId="0" xfId="0" applyFont="1" applyFill="1" applyAlignment="1">
      <alignment horizontal="center" vertical="center"/>
    </xf>
    <xf numFmtId="0" fontId="76" fillId="12" borderId="0" xfId="0" applyFont="1" applyFill="1" applyAlignment="1">
      <alignment horizontal="center" vertical="center"/>
    </xf>
    <xf numFmtId="0" fontId="77" fillId="12" borderId="0" xfId="0" applyFont="1" applyFill="1" applyAlignment="1">
      <alignment horizontal="center" vertical="center"/>
    </xf>
    <xf numFmtId="0" fontId="37" fillId="14" borderId="14" xfId="0" applyFont="1" applyFill="1" applyBorder="1" applyAlignment="1">
      <alignment horizontal="center" vertical="center" wrapText="1"/>
    </xf>
    <xf numFmtId="0" fontId="37" fillId="14" borderId="11" xfId="0" applyFont="1" applyFill="1" applyBorder="1" applyAlignment="1">
      <alignment horizontal="center" vertical="center" wrapText="1"/>
    </xf>
    <xf numFmtId="0" fontId="37" fillId="14" borderId="15" xfId="0" applyFont="1" applyFill="1" applyBorder="1" applyAlignment="1">
      <alignment horizontal="center" vertical="center" wrapText="1"/>
    </xf>
    <xf numFmtId="0" fontId="78" fillId="12" borderId="0" xfId="0" applyFont="1" applyFill="1" applyAlignment="1">
      <alignment horizontal="center" vertical="center"/>
    </xf>
    <xf numFmtId="0" fontId="39" fillId="15" borderId="14" xfId="0" applyFont="1" applyFill="1" applyBorder="1" applyAlignment="1">
      <alignment horizontal="center" vertical="center"/>
    </xf>
    <xf numFmtId="0" fontId="39" fillId="15" borderId="11" xfId="0" applyFont="1" applyFill="1" applyBorder="1" applyAlignment="1">
      <alignment horizontal="center" vertical="center"/>
    </xf>
    <xf numFmtId="0" fontId="37" fillId="14" borderId="16" xfId="0" applyFont="1" applyFill="1" applyBorder="1" applyAlignment="1">
      <alignment horizontal="center" vertical="center" wrapText="1"/>
    </xf>
    <xf numFmtId="0" fontId="37" fillId="14" borderId="0" xfId="0" applyFont="1" applyFill="1" applyAlignment="1">
      <alignment horizontal="center" vertical="center" wrapText="1"/>
    </xf>
    <xf numFmtId="0" fontId="37" fillId="14" borderId="17" xfId="0" applyFont="1" applyFill="1" applyBorder="1" applyAlignment="1">
      <alignment horizontal="center" vertical="center" wrapText="1"/>
    </xf>
    <xf numFmtId="0" fontId="79" fillId="12" borderId="0" xfId="0" applyFont="1" applyFill="1" applyAlignment="1">
      <alignment horizontal="center" vertical="center"/>
    </xf>
    <xf numFmtId="0" fontId="39" fillId="15" borderId="18" xfId="0" applyFont="1" applyFill="1" applyBorder="1" applyAlignment="1">
      <alignment horizontal="center" vertical="center"/>
    </xf>
    <xf numFmtId="0" fontId="39" fillId="15" borderId="19" xfId="0" applyFont="1" applyFill="1" applyBorder="1" applyAlignment="1">
      <alignment horizontal="center" vertical="center"/>
    </xf>
    <xf numFmtId="0" fontId="37" fillId="14" borderId="18" xfId="0" applyFont="1" applyFill="1" applyBorder="1" applyAlignment="1">
      <alignment horizontal="center" vertical="center" wrapText="1"/>
    </xf>
    <xf numFmtId="0" fontId="37" fillId="14" borderId="19" xfId="0" applyFont="1" applyFill="1" applyBorder="1" applyAlignment="1">
      <alignment horizontal="center" vertical="center" wrapText="1"/>
    </xf>
    <xf numFmtId="0" fontId="37" fillId="14" borderId="20" xfId="0" applyFont="1" applyFill="1" applyBorder="1" applyAlignment="1">
      <alignment horizontal="center" vertical="center" wrapText="1"/>
    </xf>
    <xf numFmtId="0" fontId="17" fillId="16" borderId="21" xfId="0" applyFont="1" applyFill="1" applyBorder="1" applyAlignment="1">
      <alignment horizontal="center" vertical="center"/>
    </xf>
    <xf numFmtId="16" fontId="17" fillId="16" borderId="9" xfId="0" applyNumberFormat="1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/>
    </xf>
    <xf numFmtId="16" fontId="42" fillId="16" borderId="21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0" fontId="80" fillId="0" borderId="9" xfId="0" applyFont="1" applyBorder="1" applyAlignment="1" applyProtection="1">
      <alignment horizontal="center" vertical="center" readingOrder="1"/>
      <protection locked="0"/>
    </xf>
    <xf numFmtId="0" fontId="24" fillId="0" borderId="9" xfId="0" applyFont="1" applyBorder="1" applyAlignment="1" applyProtection="1">
      <alignment horizontal="center" vertical="center" readingOrder="1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81" fillId="0" borderId="25" xfId="0" applyNumberFormat="1" applyFont="1" applyBorder="1" applyAlignment="1">
      <alignment horizontal="center" vertical="center" wrapText="1" readingOrder="1"/>
    </xf>
    <xf numFmtId="0" fontId="80" fillId="0" borderId="9" xfId="0" applyFont="1" applyBorder="1" applyAlignment="1" applyProtection="1">
      <alignment horizontal="center" vertical="center" wrapText="1" readingOrder="1"/>
      <protection locked="0"/>
    </xf>
    <xf numFmtId="0" fontId="24" fillId="0" borderId="9" xfId="0" applyFont="1" applyBorder="1" applyAlignment="1" applyProtection="1">
      <alignment horizontal="center" vertical="center" wrapText="1" readingOrder="1"/>
      <protection locked="0"/>
    </xf>
    <xf numFmtId="0" fontId="43" fillId="0" borderId="11" xfId="0" applyNumberFormat="1" applyFont="1" applyBorder="1" applyAlignment="1">
      <alignment horizontal="center" vertical="center" wrapText="1" readingOrder="1"/>
    </xf>
    <xf numFmtId="0" fontId="80" fillId="0" borderId="14" xfId="0" applyFont="1" applyBorder="1" applyAlignment="1" applyProtection="1">
      <alignment horizontal="center" vertical="center" wrapText="1" readingOrder="1"/>
      <protection locked="0"/>
    </xf>
    <xf numFmtId="0" fontId="44" fillId="0" borderId="11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 wrapText="1" readingOrder="1"/>
      <protection locked="0"/>
    </xf>
    <xf numFmtId="0" fontId="47" fillId="0" borderId="14" xfId="0" applyFont="1" applyBorder="1" applyAlignment="1" applyProtection="1">
      <alignment horizontal="center" vertical="center"/>
      <protection locked="0"/>
    </xf>
    <xf numFmtId="0" fontId="47" fillId="0" borderId="11" xfId="0" applyFont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 wrapText="1" readingOrder="1"/>
      <protection locked="0"/>
    </xf>
    <xf numFmtId="0" fontId="81" fillId="0" borderId="11" xfId="0" applyNumberFormat="1" applyFont="1" applyBorder="1" applyAlignment="1">
      <alignment horizontal="center" vertical="center" wrapText="1" readingOrder="1"/>
    </xf>
    <xf numFmtId="0" fontId="20" fillId="0" borderId="11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/>
    </xf>
    <xf numFmtId="0" fontId="80" fillId="0" borderId="14" xfId="0" applyFont="1" applyBorder="1" applyAlignment="1" applyProtection="1">
      <alignment horizontal="center" vertical="center" readingOrder="1"/>
      <protection locked="0"/>
    </xf>
    <xf numFmtId="0" fontId="24" fillId="0" borderId="15" xfId="0" applyFont="1" applyBorder="1" applyAlignment="1" applyProtection="1">
      <alignment horizontal="center" vertical="center" readingOrder="1"/>
      <protection locked="0"/>
    </xf>
    <xf numFmtId="0" fontId="55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center" vertical="center"/>
    </xf>
    <xf numFmtId="0" fontId="31" fillId="12" borderId="0" xfId="0" applyFont="1" applyFill="1" applyAlignment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 locked="0"/>
    </xf>
    <xf numFmtId="0" fontId="47" fillId="0" borderId="22" xfId="0" applyFont="1" applyFill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82" fillId="17" borderId="27" xfId="18" applyAlignment="1" applyProtection="1">
      <alignment horizontal="center" vertical="center"/>
      <protection locked="0"/>
    </xf>
    <xf numFmtId="0" fontId="76" fillId="12" borderId="0" xfId="0" applyFont="1" applyFill="1" applyAlignment="1">
      <alignment vertical="center"/>
    </xf>
    <xf numFmtId="0" fontId="39" fillId="15" borderId="15" xfId="0" applyFont="1" applyFill="1" applyBorder="1" applyAlignment="1">
      <alignment horizontal="center" vertical="center"/>
    </xf>
    <xf numFmtId="0" fontId="39" fillId="15" borderId="20" xfId="0" applyFont="1" applyFill="1" applyBorder="1" applyAlignment="1">
      <alignment horizontal="center" vertical="center"/>
    </xf>
    <xf numFmtId="0" fontId="27" fillId="15" borderId="24" xfId="0" applyFont="1" applyFill="1" applyBorder="1" applyAlignment="1">
      <alignment horizontal="center" vertical="center" wrapText="1"/>
    </xf>
    <xf numFmtId="0" fontId="61" fillId="2" borderId="24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center" vertical="center" wrapText="1"/>
    </xf>
    <xf numFmtId="0" fontId="83" fillId="0" borderId="0" xfId="0" applyFont="1" applyAlignment="1">
      <alignment vertical="center"/>
    </xf>
    <xf numFmtId="0" fontId="84" fillId="15" borderId="9" xfId="0" applyFont="1" applyFill="1" applyBorder="1" applyAlignment="1">
      <alignment horizontal="center" vertical="center" wrapText="1"/>
    </xf>
    <xf numFmtId="16" fontId="85" fillId="8" borderId="21" xfId="0" applyNumberFormat="1" applyFont="1" applyFill="1" applyBorder="1" applyAlignment="1" applyProtection="1">
      <alignment horizontal="center" vertical="center"/>
      <protection locked="0"/>
    </xf>
    <xf numFmtId="0" fontId="86" fillId="9" borderId="21" xfId="0" applyFont="1" applyFill="1" applyBorder="1" applyAlignment="1">
      <alignment vertical="center" wrapText="1"/>
    </xf>
    <xf numFmtId="0" fontId="63" fillId="10" borderId="18" xfId="0" applyFont="1" applyFill="1" applyBorder="1" applyAlignment="1">
      <alignment vertical="center" wrapText="1"/>
    </xf>
    <xf numFmtId="1" fontId="25" fillId="0" borderId="21" xfId="0" applyNumberFormat="1" applyFont="1" applyBorder="1" applyAlignment="1">
      <alignment horizontal="center" vertical="center"/>
    </xf>
    <xf numFmtId="2" fontId="87" fillId="2" borderId="9" xfId="0" applyNumberFormat="1" applyFont="1" applyFill="1" applyBorder="1" applyAlignment="1">
      <alignment vertical="center"/>
    </xf>
    <xf numFmtId="1" fontId="30" fillId="2" borderId="28" xfId="0" applyNumberFormat="1" applyFont="1" applyFill="1" applyBorder="1" applyAlignment="1">
      <alignment horizontal="center" vertical="center"/>
    </xf>
    <xf numFmtId="1" fontId="88" fillId="2" borderId="28" xfId="0" applyNumberFormat="1" applyFont="1" applyFill="1" applyBorder="1" applyAlignment="1">
      <alignment horizontal="center" vertical="center"/>
    </xf>
    <xf numFmtId="2" fontId="89" fillId="2" borderId="22" xfId="0" applyNumberFormat="1" applyFont="1" applyFill="1" applyBorder="1" applyAlignment="1">
      <alignment vertical="center"/>
    </xf>
    <xf numFmtId="2" fontId="87" fillId="2" borderId="22" xfId="0" applyNumberFormat="1" applyFont="1" applyFill="1" applyBorder="1" applyAlignment="1">
      <alignment vertical="center"/>
    </xf>
    <xf numFmtId="1" fontId="88" fillId="2" borderId="14" xfId="0" applyNumberFormat="1" applyFont="1" applyFill="1" applyBorder="1" applyAlignment="1">
      <alignment horizontal="center" vertical="center"/>
    </xf>
    <xf numFmtId="0" fontId="90" fillId="0" borderId="0" xfId="0" applyFont="1"/>
    <xf numFmtId="0" fontId="91" fillId="18" borderId="29" xfId="0" applyFont="1" applyFill="1" applyBorder="1" applyAlignment="1">
      <alignment horizontal="right" vertical="center"/>
    </xf>
    <xf numFmtId="0" fontId="91" fillId="18" borderId="30" xfId="0" applyFont="1" applyFill="1" applyBorder="1" applyAlignment="1">
      <alignment horizontal="right" vertical="center"/>
    </xf>
    <xf numFmtId="0" fontId="91" fillId="0" borderId="31" xfId="0" applyFont="1" applyBorder="1" applyAlignment="1">
      <alignment horizontal="right" vertical="center"/>
    </xf>
    <xf numFmtId="0" fontId="91" fillId="0" borderId="32" xfId="0" applyFont="1" applyBorder="1" applyAlignment="1">
      <alignment horizontal="right" vertical="center"/>
    </xf>
    <xf numFmtId="0" fontId="91" fillId="18" borderId="31" xfId="0" applyFont="1" applyFill="1" applyBorder="1" applyAlignment="1">
      <alignment horizontal="right" vertical="center"/>
    </xf>
    <xf numFmtId="0" fontId="91" fillId="18" borderId="32" xfId="0" applyFont="1" applyFill="1" applyBorder="1" applyAlignment="1">
      <alignment horizontal="right" vertical="center"/>
    </xf>
    <xf numFmtId="0" fontId="91" fillId="0" borderId="31" xfId="0" applyFont="1" applyBorder="1" applyAlignment="1">
      <alignment vertical="center"/>
    </xf>
    <xf numFmtId="0" fontId="91" fillId="18" borderId="0" xfId="0" applyFont="1" applyFill="1" applyAlignment="1">
      <alignment horizontal="right" vertical="center"/>
    </xf>
    <xf numFmtId="0" fontId="10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16" fontId="17" fillId="3" borderId="21" xfId="0" applyNumberFormat="1" applyFont="1" applyFill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>
      <alignment horizontal="center" vertical="center"/>
    </xf>
    <xf numFmtId="0" fontId="20" fillId="0" borderId="22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1" fontId="22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92" fillId="0" borderId="22" xfId="0" applyFont="1" applyBorder="1" applyAlignment="1" applyProtection="1">
      <alignment vertical="center"/>
      <protection locked="0"/>
    </xf>
    <xf numFmtId="0" fontId="24" fillId="19" borderId="9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>
      <alignment horizontal="center" vertical="center"/>
    </xf>
    <xf numFmtId="16" fontId="17" fillId="3" borderId="28" xfId="0" applyNumberFormat="1" applyFont="1" applyFill="1" applyBorder="1" applyAlignment="1" applyProtection="1">
      <alignment horizontal="center" vertical="center"/>
      <protection locked="0"/>
    </xf>
    <xf numFmtId="16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61" fillId="10" borderId="18" xfId="0" applyFont="1" applyFill="1" applyBorder="1" applyAlignment="1">
      <alignment vertical="center" wrapText="1"/>
    </xf>
    <xf numFmtId="0" fontId="77" fillId="12" borderId="0" xfId="0" applyFont="1" applyFill="1" applyAlignment="1">
      <alignment vertical="center"/>
    </xf>
    <xf numFmtId="0" fontId="78" fillId="12" borderId="0" xfId="0" applyFont="1" applyFill="1" applyAlignment="1">
      <alignment vertical="center"/>
    </xf>
    <xf numFmtId="0" fontId="79" fillId="12" borderId="0" xfId="0" applyFont="1" applyFill="1" applyAlignment="1">
      <alignment vertical="center"/>
    </xf>
    <xf numFmtId="16" fontId="17" fillId="16" borderId="21" xfId="0" applyNumberFormat="1" applyFont="1" applyFill="1" applyBorder="1" applyAlignment="1" applyProtection="1">
      <alignment horizontal="center" vertical="center"/>
      <protection locked="0"/>
    </xf>
    <xf numFmtId="0" fontId="17" fillId="16" borderId="18" xfId="0" applyFont="1" applyFill="1" applyBorder="1" applyAlignment="1">
      <alignment horizontal="center" vertical="center"/>
    </xf>
    <xf numFmtId="16" fontId="17" fillId="16" borderId="28" xfId="0" applyNumberFormat="1" applyFont="1" applyFill="1" applyBorder="1" applyAlignment="1" applyProtection="1">
      <alignment horizontal="center" vertical="center"/>
      <protection locked="0"/>
    </xf>
    <xf numFmtId="16" fontId="17" fillId="16" borderId="18" xfId="0" applyNumberFormat="1" applyFont="1" applyFill="1" applyBorder="1" applyAlignment="1" applyProtection="1">
      <alignment horizontal="center" vertical="center"/>
      <protection locked="0"/>
    </xf>
    <xf numFmtId="0" fontId="18" fillId="15" borderId="9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4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93" fillId="0" borderId="0" xfId="0" applyFont="1" applyAlignment="1">
      <alignment vertical="center" wrapText="1" readingOrder="1"/>
    </xf>
    <xf numFmtId="16" fontId="17" fillId="16" borderId="21" xfId="0" applyNumberFormat="1" applyFont="1" applyFill="1" applyBorder="1" applyAlignment="1" applyProtection="1" quotePrefix="1">
      <alignment horizontal="center" vertical="center"/>
      <protection locked="0"/>
    </xf>
    <xf numFmtId="16" fontId="17" fillId="16" borderId="18" xfId="0" applyNumberFormat="1" applyFont="1" applyFill="1" applyBorder="1" applyAlignment="1" applyProtection="1" quotePrefix="1">
      <alignment horizontal="center" vertical="center"/>
      <protection locked="0"/>
    </xf>
    <xf numFmtId="16" fontId="65" fillId="8" borderId="21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21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18" xfId="0" applyNumberFormat="1" applyFont="1" applyFill="1" applyBorder="1" applyAlignment="1" applyProtection="1" quotePrefix="1">
      <alignment horizontal="center" vertical="center"/>
      <protection locked="0"/>
    </xf>
    <xf numFmtId="16" fontId="42" fillId="16" borderId="21" xfId="0" applyNumberFormat="1" applyFont="1" applyFill="1" applyBorder="1" applyAlignment="1" applyProtection="1" quotePrefix="1">
      <alignment horizontal="center" vertical="center"/>
      <protection locked="0"/>
    </xf>
    <xf numFmtId="16" fontId="85" fillId="8" borderId="21" xfId="0" applyNumberFormat="1" applyFont="1" applyFill="1" applyBorder="1" applyAlignment="1" applyProtection="1" quotePrefix="1">
      <alignment horizontal="center" vertical="center"/>
      <protection locked="0"/>
    </xf>
    <xf numFmtId="16" fontId="42" fillId="3" borderId="9" xfId="0" applyNumberFormat="1" applyFont="1" applyFill="1" applyBorder="1" applyAlignment="1" applyProtection="1" quotePrefix="1">
      <alignment horizontal="center" vertical="center"/>
      <protection locked="0"/>
    </xf>
    <xf numFmtId="16" fontId="42" fillId="3" borderId="21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9" xfId="0" applyNumberFormat="1" applyFont="1" applyFill="1" applyBorder="1" applyAlignment="1" quotePrefix="1">
      <alignment horizontal="center" vertical="center"/>
    </xf>
    <xf numFmtId="16" fontId="26" fillId="8" borderId="9" xfId="0" applyNumberFormat="1" applyFont="1" applyFill="1" applyBorder="1" applyAlignment="1" quotePrefix="1">
      <alignment horizontal="center" vertical="center" wrapText="1"/>
    </xf>
    <xf numFmtId="16" fontId="28" fillId="8" borderId="11" xfId="0" applyNumberFormat="1" applyFont="1" applyFill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15"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0"/>
        <i val="0"/>
        <strike val="0"/>
        <u val="none"/>
        <sz val="12"/>
        <color theme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8"/>
        <color theme="0" tint="-0.14996795556505"/>
      </font>
      <numFmt numFmtId="2" formatCode="0.00"/>
      <fill>
        <patternFill patternType="solid">
          <bgColor theme="0" tint="-0.14996795556505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6795556505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6795556505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0"/>
        <i val="0"/>
        <strike val="0"/>
        <u val="none"/>
        <sz val="12"/>
        <color theme="1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1"/>
        <color theme="0" tint="-0.14996795556505"/>
      </font>
      <numFmt numFmtId="2" formatCode="0.00"/>
      <fill>
        <patternFill patternType="solid">
          <bgColor theme="0" tint="-0.14996795556505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6795556505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6795556505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strike val="0"/>
        <u val="none"/>
        <color auto="1"/>
      </font>
    </dxf>
    <dxf>
      <font>
        <name val="Calibri"/>
        <scheme val="none"/>
        <strike val="0"/>
        <u val="none"/>
        <color auto="1"/>
      </font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9"/>
        <color indexed="8"/>
      </font>
      <alignment vertical="top" readingOrder="1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 readingOrder="1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8"/>
        <color theme="0" tint="-0.14996795556505"/>
      </font>
      <numFmt numFmtId="2" formatCode="0.00"/>
      <fill>
        <patternFill patternType="solid">
          <bgColor theme="0" tint="-0.14996795556505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6795556505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6795556505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 readingOrder="1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1"/>
        <color theme="0" tint="-0.14996795556505"/>
      </font>
      <numFmt numFmtId="2" formatCode="0.00"/>
      <fill>
        <patternFill patternType="solid">
          <bgColor theme="0" tint="-0.14996795556505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6795556505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6795556505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</dxf>
    <dxf>
      <alignment horizontal="center" vertical="center"/>
    </dxf>
  </dxfs>
  <tableStyles count="0" defaultTableStyle="TableStyleMedium9" defaultPivotStyle="PivotStyleLight16"/>
  <colors>
    <mruColors>
      <color rgb="00EF1984"/>
      <color rgb="00DE10C1"/>
      <color rgb="00F183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733452</xdr:colOff>
      <xdr:row>0</xdr:row>
      <xdr:rowOff>123801</xdr:rowOff>
    </xdr:from>
    <xdr:to>
      <xdr:col>5</xdr:col>
      <xdr:colOff>592614</xdr:colOff>
      <xdr:row>0</xdr:row>
      <xdr:rowOff>816428</xdr:rowOff>
    </xdr:to>
    <xdr:pic>
      <xdr:nvPicPr>
        <xdr:cNvPr id="4" name="Immagine 3" descr="FIG_unico_piccolo_e_grande_0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48425" y="123190"/>
          <a:ext cx="68770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105835</xdr:colOff>
      <xdr:row>0</xdr:row>
      <xdr:rowOff>31749</xdr:rowOff>
    </xdr:from>
    <xdr:to>
      <xdr:col>17</xdr:col>
      <xdr:colOff>127003</xdr:colOff>
      <xdr:row>0</xdr:row>
      <xdr:rowOff>867832</xdr:rowOff>
    </xdr:to>
    <xdr:pic>
      <xdr:nvPicPr>
        <xdr:cNvPr id="7" name="Immagine 6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935" y="31115"/>
          <a:ext cx="859790" cy="836295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855916</xdr:colOff>
      <xdr:row>0</xdr:row>
      <xdr:rowOff>123801</xdr:rowOff>
    </xdr:from>
    <xdr:to>
      <xdr:col>5</xdr:col>
      <xdr:colOff>633435</xdr:colOff>
      <xdr:row>0</xdr:row>
      <xdr:rowOff>816428</xdr:rowOff>
    </xdr:to>
    <xdr:pic>
      <xdr:nvPicPr>
        <xdr:cNvPr id="5" name="Immagine 4" descr="FIG_unico_piccolo_e_grande_0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84620" y="123190"/>
          <a:ext cx="68262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40821</xdr:colOff>
      <xdr:row>0</xdr:row>
      <xdr:rowOff>68035</xdr:rowOff>
    </xdr:from>
    <xdr:to>
      <xdr:col>17</xdr:col>
      <xdr:colOff>61988</xdr:colOff>
      <xdr:row>0</xdr:row>
      <xdr:rowOff>904118</xdr:rowOff>
    </xdr:to>
    <xdr:pic>
      <xdr:nvPicPr>
        <xdr:cNvPr id="9" name="Immagine 8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3640" y="67945"/>
          <a:ext cx="859155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787880</xdr:colOff>
      <xdr:row>0</xdr:row>
      <xdr:rowOff>82980</xdr:rowOff>
    </xdr:from>
    <xdr:to>
      <xdr:col>3</xdr:col>
      <xdr:colOff>293257</xdr:colOff>
      <xdr:row>0</xdr:row>
      <xdr:rowOff>775607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11600" y="82550"/>
          <a:ext cx="686435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772586</xdr:colOff>
      <xdr:row>0</xdr:row>
      <xdr:rowOff>60476</xdr:rowOff>
    </xdr:from>
    <xdr:to>
      <xdr:col>23</xdr:col>
      <xdr:colOff>810294</xdr:colOff>
      <xdr:row>0</xdr:row>
      <xdr:rowOff>896559</xdr:rowOff>
    </xdr:to>
    <xdr:pic>
      <xdr:nvPicPr>
        <xdr:cNvPr id="3" name="Immagine 2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55935" y="60325"/>
          <a:ext cx="85725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406880</xdr:colOff>
      <xdr:row>0</xdr:row>
      <xdr:rowOff>123801</xdr:rowOff>
    </xdr:from>
    <xdr:to>
      <xdr:col>2</xdr:col>
      <xdr:colOff>1096077</xdr:colOff>
      <xdr:row>0</xdr:row>
      <xdr:rowOff>816428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87775" y="123190"/>
          <a:ext cx="689610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36738</xdr:colOff>
      <xdr:row>0</xdr:row>
      <xdr:rowOff>40821</xdr:rowOff>
    </xdr:from>
    <xdr:to>
      <xdr:col>26</xdr:col>
      <xdr:colOff>629405</xdr:colOff>
      <xdr:row>0</xdr:row>
      <xdr:rowOff>876904</xdr:rowOff>
    </xdr:to>
    <xdr:pic>
      <xdr:nvPicPr>
        <xdr:cNvPr id="3" name="Immagine 2"/>
        <xdr:cNvPicPr/>
      </xdr:nvPicPr>
      <xdr:blipFill>
        <a:blip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139" l="3475" r="95367">
                      <a14:foregroundMark x1="32046" y1="10425" x2="18147" y2="20463"/>
                      <a14:foregroundMark x1="18147" y1="20463" x2="12741" y2="30116"/>
                      <a14:foregroundMark x1="12741" y1="30116" x2="9266" y2="56371"/>
                      <a14:foregroundMark x1="9266" y1="56371" x2="15058" y2="71815"/>
                      <a14:foregroundMark x1="15058" y1="71815" x2="30888" y2="85714"/>
                      <a14:foregroundMark x1="30888" y1="85714" x2="44015" y2="90347"/>
                      <a14:foregroundMark x1="44015" y1="90347" x2="59073" y2="91892"/>
                      <a14:foregroundMark x1="59073" y1="91892" x2="76448" y2="84556"/>
                      <a14:foregroundMark x1="76448" y1="84556" x2="88417" y2="57529"/>
                      <a14:foregroundMark x1="88417" y1="57529" x2="88803" y2="38224"/>
                      <a14:foregroundMark x1="88803" y1="38224" x2="84556" y2="27413"/>
                      <a14:foregroundMark x1="84556" y1="27413" x2="71042" y2="14672"/>
                      <a14:foregroundMark x1="71042" y1="14672" x2="61776" y2="9653"/>
                      <a14:foregroundMark x1="61776" y1="9653" x2="52124" y2="7722"/>
                      <a14:foregroundMark x1="52124" y1="7722" x2="31660" y2="10425"/>
                      <a14:foregroundMark x1="56371" y1="3861" x2="54826" y2="2703"/>
                      <a14:foregroundMark x1="43629" y1="2703" x2="40927" y2="3475"/>
                      <a14:foregroundMark x1="31274" y1="7722" x2="30116" y2="7722"/>
                      <a14:foregroundMark x1="25097" y1="12355" x2="21622" y2="14672"/>
                      <a14:foregroundMark x1="18533" y1="16216" x2="15444" y2="21236"/>
                      <a14:foregroundMark x1="15058" y1="22008" x2="15058" y2="22008"/>
                      <a14:foregroundMark x1="9266" y1="30888" x2="5405" y2="40154"/>
                      <a14:foregroundMark x1="5019" y1="44015" x2="5019" y2="49035"/>
                      <a14:foregroundMark x1="7722" y1="56757" x2="10811" y2="66409"/>
                      <a14:foregroundMark x1="10811" y1="66409" x2="10811" y2="66409"/>
                      <a14:foregroundMark x1="10811" y1="68340" x2="10811" y2="68340"/>
                      <a14:foregroundMark x1="11197" y1="70270" x2="14672" y2="77220"/>
                      <a14:foregroundMark x1="16216" y1="78378" x2="18919" y2="81853"/>
                      <a14:foregroundMark x1="23166" y1="85714" x2="25869" y2="87259"/>
                      <a14:foregroundMark x1="28185" y1="87645" x2="29730" y2="89575"/>
                      <a14:foregroundMark x1="30502" y1="89961" x2="31274" y2="90734"/>
                      <a14:foregroundMark x1="26255" y1="89189" x2="24710" y2="88031"/>
                      <a14:foregroundMark x1="23552" y1="86873" x2="19305" y2="83012"/>
                      <a14:foregroundMark x1="18147" y1="81853" x2="16216" y2="79923"/>
                      <a14:foregroundMark x1="35135" y1="91506" x2="38224" y2="94595"/>
                      <a14:foregroundMark x1="40154" y1="94595" x2="47104" y2="96139"/>
                      <a14:foregroundMark x1="51737" y1="96139" x2="55598" y2="96525"/>
                      <a14:foregroundMark x1="59073" y1="96911" x2="61390" y2="95367"/>
                      <a14:foregroundMark x1="65251" y1="91506" x2="65251" y2="91506"/>
                      <a14:foregroundMark x1="70656" y1="90734" x2="73359" y2="88803"/>
                      <a14:foregroundMark x1="77220" y1="85714" x2="79923" y2="82625"/>
                      <a14:foregroundMark x1="83012" y1="77606" x2="84556" y2="76062"/>
                      <a14:foregroundMark x1="89575" y1="68340" x2="90347" y2="66409"/>
                      <a14:foregroundMark x1="90347" y1="66409" x2="90347" y2="66409"/>
                      <a14:foregroundMark x1="94595" y1="54054" x2="94981" y2="49035"/>
                      <a14:foregroundMark x1="95367" y1="38996" x2="95367" y2="38996"/>
                      <a14:foregroundMark x1="95367" y1="38996" x2="94595" y2="37452"/>
                      <a14:foregroundMark x1="93050" y1="30116" x2="92664" y2="27799"/>
                      <a14:foregroundMark x1="83398" y1="22008" x2="83398" y2="22008"/>
                      <a14:foregroundMark x1="77606" y1="15830" x2="76834" y2="15444"/>
                      <a14:foregroundMark x1="74903" y1="13900" x2="71815" y2="12355"/>
                      <a14:foregroundMark x1="71429" y1="11969" x2="71429" y2="11969"/>
                      <a14:foregroundMark x1="71429" y1="11969" x2="65637" y2="10425"/>
                      <a14:foregroundMark x1="54054" y1="5019" x2="53025" y2="4916"/>
                      <a14:foregroundMark x1="41699" y1="10425" x2="40541" y2="44788"/>
                      <a14:foregroundMark x1="40541" y1="44788" x2="43243" y2="57915"/>
                      <a14:foregroundMark x1="43243" y1="57915" x2="56757" y2="51737"/>
                      <a14:foregroundMark x1="56757" y1="51737" x2="58301" y2="50193"/>
                      <a14:backgroundMark x1="46332" y1="0" x2="55985" y2="3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05945" y="40640"/>
          <a:ext cx="859790" cy="835660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eodp\Downloads\Classifica%20Teodoro%20Soldati%20Matteo%2010%20AGOS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IFICA MASCHILE"/>
      <sheetName val="CLASSIFICA FEMMINILE"/>
      <sheetName val="SISTEMA"/>
      <sheetName val="Istruzioni"/>
      <sheetName val="Statistiche per Responsabile"/>
      <sheetName val="Classifica Teodoro Soldati Mat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1" name="MASCHI" displayName="MASCHI" ref="A8:Y11" totalsRowShown="0">
  <autoFilter xmlns:etc="http://www.wps.cn/officeDocument/2017/etCustomData" ref="A8:Y11" etc:filterBottomFollowUsedRange="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0">
      <calculatedColumnFormula>IF(A8="Elenco",1,IF(B9="","",A8+1))</calculatedColumnFormula>
    </tableColumn>
    <tableColumn id="3" name="Nome Giocatore" dataDxfId="1"/>
    <tableColumn id="4" name="Anno di nascita" dataDxfId="2"/>
    <tableColumn id="5" name="Qualifica &#10;(B-BG-BN)" dataDxfId="3"/>
    <tableColumn id="6" name="N° Gare" dataDxfId="4">
      <calculatedColumnFormula>IF(COUNTA(G9:S9)+COUNTA(V9:V9)=0,"",COUNTA(G9:S9)+COUNTA(V9:V9))</calculatedColumnFormula>
    </tableColumn>
    <tableColumn id="7" name="Circolo di appartenenza" dataDxfId="5"/>
    <tableColumn id="8" name="data1" dataDxfId="6"/>
    <tableColumn id="9" name="data2" dataDxfId="7"/>
    <tableColumn id="10" name="data3" dataDxfId="8"/>
    <tableColumn id="11" name="data4" dataDxfId="9"/>
    <tableColumn id="12" name="data5" dataDxfId="10"/>
    <tableColumn id="13" name="data6" dataDxfId="11"/>
    <tableColumn id="14" name="data7" dataDxfId="12"/>
    <tableColumn id="15" name="data8" dataDxfId="13"/>
    <tableColumn id="16" name="data9" dataDxfId="14"/>
    <tableColumn id="17" name="data10" dataDxfId="15"/>
    <tableColumn id="18" name="data11" dataDxfId="16"/>
    <tableColumn id="19" name="data12" dataDxfId="17"/>
    <tableColumn id="20" name="data13" dataDxfId="18"/>
    <tableColumn id="21" name="TOTALE" dataDxfId="19">
      <calculatedColumnFormula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20">
      <calculatedColumnFormula>AVERAGE(MASCHI[[#This Row],[data1]:[data13]])</calculatedColumnFormula>
    </tableColumn>
    <tableColumn id="23" name=" DATA    " dataDxfId="21"/>
    <tableColumn id="24" name="Colonna18" dataDxfId="22"/>
    <tableColumn id="25" name="Colonna1" dataDxfId="23">
      <calculatedColumnFormula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calculatedColumnFormula>
    </tableColumn>
    <tableColumn id="26" name="Colonna20" dataDxfId="24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FEMMINE" displayName="FEMMINE" ref="A8:Y11" totalsRowShown="0">
  <autoFilter xmlns:etc="http://www.wps.cn/officeDocument/2017/etCustomData" ref="A8:Y11" etc:filterBottomFollowUsedRange="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26">
      <calculatedColumnFormula>IF(A8="Elenco",1,IF(B9="","",A8+1))</calculatedColumnFormula>
    </tableColumn>
    <tableColumn id="3" name="Nome Giocatore" dataDxfId="27"/>
    <tableColumn id="4" name="Anno di nascita" dataDxfId="28"/>
    <tableColumn id="5" name="Qualifica &#10;(B-BG-BN)" dataDxfId="29"/>
    <tableColumn id="6" name="N° Gare" dataDxfId="30">
      <calculatedColumnFormula>IF(COUNTA(G9:S9)+COUNTA(V9:V9)=0,"",COUNTA(G9:S9)+COUNTA(V9:V9))</calculatedColumnFormula>
    </tableColumn>
    <tableColumn id="7" name="Circolo di appartenenza" dataDxfId="31"/>
    <tableColumn id="8" name="data1" dataDxfId="32"/>
    <tableColumn id="9" name="data2" dataDxfId="33"/>
    <tableColumn id="10" name="data3" dataDxfId="34"/>
    <tableColumn id="11" name="data4" dataDxfId="35"/>
    <tableColumn id="12" name="data5" dataDxfId="36"/>
    <tableColumn id="13" name="data6" dataDxfId="37"/>
    <tableColumn id="14" name="data7" dataDxfId="38"/>
    <tableColumn id="15" name="data8" dataDxfId="39"/>
    <tableColumn id="16" name="data9" dataDxfId="40"/>
    <tableColumn id="17" name="data10" dataDxfId="41"/>
    <tableColumn id="18" name="data11" dataDxfId="42"/>
    <tableColumn id="19" name="data12" dataDxfId="43"/>
    <tableColumn id="20" name="data13" dataDxfId="44"/>
    <tableColumn id="21" name="TOTALE" dataDxfId="45">
      <calculatedColumnFormula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46">
      <calculatedColumnFormula>AVERAGE(FEMMINE[[#This Row],[data1]:[data13]])</calculatedColumnFormula>
    </tableColumn>
    <tableColumn id="23" name=" DATA    " dataDxfId="47"/>
    <tableColumn id="24" name="Colonna18" dataDxfId="48"/>
    <tableColumn id="25" name="Colonna1" dataDxfId="49">
      <calculatedColumnFormula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calculatedColumnFormula>
    </tableColumn>
    <tableColumn id="26" name="Colonna20" dataDxfId="50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ella4" displayName="Tabella4" ref="F2:G44" totalsRowShown="0">
  <autoFilter xmlns:etc="http://www.wps.cn/officeDocument/2017/etCustomData" ref="F2:G44" etc:filterBottomFollowUsedRange="0"/>
  <tableColumns count="2">
    <tableColumn id="1" name="1" dataDxfId="51"/>
    <tableColumn id="2" name="100" dataDxfId="5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MASCHI4" displayName="MASCHI4" ref="A8:AD34" totalsRowShown="0">
  <sortState ref="A8:AD34">
    <sortCondition ref="Y9" descending="1"/>
  </sortState>
  <tableColumns count="30">
    <tableColumn id="2" name="Elenco" dataDxfId="53">
      <calculatedColumnFormula>IF(A8="Elenco",1,A8+1)</calculatedColumnFormula>
    </tableColumn>
    <tableColumn id="3" name="Nome Giocatore" dataDxfId="54"/>
    <tableColumn id="4" name="Anno di nascita" dataDxfId="55"/>
    <tableColumn id="5" name="Qualifica &#10;(B-BG-BN)" dataDxfId="56"/>
    <tableColumn id="6" name="N° Gare" dataDxfId="57">
      <calculatedColumnFormula>IF(COUNTA(G9:X9,AA9)=0,"",COUNTA(G9:X9,AA9))</calculatedColumnFormula>
    </tableColumn>
    <tableColumn id="7" name="Circolo di appartenenza" dataDxfId="58"/>
    <tableColumn id="8" name="18-feb" dataDxfId="59"/>
    <tableColumn id="9" name="29-mar" dataDxfId="60"/>
    <tableColumn id="10" name="6/7 apr" dataDxfId="61"/>
    <tableColumn id="11" name="11-giu" dataDxfId="62"/>
    <tableColumn id="12" name="22/23-giu" dataDxfId="63"/>
    <tableColumn id="13" name="23-lug" dataDxfId="64"/>
    <tableColumn id="14" name="31-lug" dataDxfId="65"/>
    <tableColumn id="15" name="31-ago/01-sett" dataDxfId="66"/>
    <tableColumn id="16" name="10-set" dataDxfId="67"/>
    <tableColumn id="17" name="21-22 sett" dataDxfId="68"/>
    <tableColumn id="18" name="Data 11" dataDxfId="69"/>
    <tableColumn id="19" name="Data 12" dataDxfId="70"/>
    <tableColumn id="27" name="Data 13" dataDxfId="71"/>
    <tableColumn id="32" name="Data 14" dataDxfId="72"/>
    <tableColumn id="31" name="Data 15" dataDxfId="73"/>
    <tableColumn id="30" name="Data 16" dataDxfId="74"/>
    <tableColumn id="1" name="Data 17" dataDxfId="75"/>
    <tableColumn id="20" name="Data 18" dataDxfId="76"/>
    <tableColumn id="21" name="TOTALE" dataDxfId="77">
      <calculatedColumnFormula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calculatedColumnFormula>
    </tableColumn>
    <tableColumn id="22" name="Colonna16" dataDxfId="78">
      <calculatedColumnFormula>AVERAGE(MASCHI4[[#This Row],[18-feb]:[Data 18]])</calculatedColumnFormula>
    </tableColumn>
    <tableColumn id="23" name=" DATA    " dataDxfId="79"/>
    <tableColumn id="24" name="Colonna18" dataDxfId="80"/>
    <tableColumn id="25" name="Colonna1" dataDxfId="81">
      <calculatedColumnFormula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calculatedColumnFormula>
    </tableColumn>
    <tableColumn id="26" name="Colonna20" dataDxfId="82">
      <calculatedColumnFormula>IFERROR(IF(E9=0,"",AC9/E9),"")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AD18" totalsRowShown="0">
  <autoFilter xmlns:etc="http://www.wps.cn/officeDocument/2017/etCustomData" ref="A8:AD18" etc:filterBottomFollowUsedRange="0"/>
  <sortState ref="A8:AD18">
    <sortCondition ref="Y8:Y18" descending="1"/>
  </sortState>
  <tableColumns count="30">
    <tableColumn id="2" name="Elenco" dataDxfId="83">
      <calculatedColumnFormula>IF(A8="Elenco",1,A8+1)</calculatedColumnFormula>
    </tableColumn>
    <tableColumn id="3" name="Nome Giocatore" dataDxfId="84"/>
    <tableColumn id="4" name="Anno di nascita" dataDxfId="85"/>
    <tableColumn id="5" name="Qualifica &#10;(B-BG-BN)" dataDxfId="86"/>
    <tableColumn id="6" name="N° Gare" dataDxfId="87">
      <calculatedColumnFormula>IF(COUNTA(G9:X9,AA9)=0,"",COUNTA(G9:X9,AA9))</calculatedColumnFormula>
    </tableColumn>
    <tableColumn id="7" name="Circolo di appartenenza" dataDxfId="88"/>
    <tableColumn id="8" name="18-feb" dataDxfId="89"/>
    <tableColumn id="9" name="29-mar" dataDxfId="90"/>
    <tableColumn id="10" name="6/7 apr" dataDxfId="91"/>
    <tableColumn id="11" name="11-giu" dataDxfId="92"/>
    <tableColumn id="12" name="22/23 giu" dataDxfId="93"/>
    <tableColumn id="13" name="23-lug" dataDxfId="94"/>
    <tableColumn id="14" name="31-lug" dataDxfId="95"/>
    <tableColumn id="15" name="31-ago/01-set" dataDxfId="96"/>
    <tableColumn id="16" name="10-set" dataDxfId="97"/>
    <tableColumn id="17" name="21-22 sett." dataDxfId="98"/>
    <tableColumn id="18" name="Data 11" dataDxfId="99"/>
    <tableColumn id="19" name="Data 12" dataDxfId="100"/>
    <tableColumn id="27" name="Data 13" dataDxfId="101"/>
    <tableColumn id="30" name="Data 14" dataDxfId="102"/>
    <tableColumn id="29" name="Data 15" dataDxfId="103"/>
    <tableColumn id="28" name="Data 16" dataDxfId="104"/>
    <tableColumn id="1" name="Data 17" dataDxfId="105"/>
    <tableColumn id="20" name="Data 18" dataDxfId="106"/>
    <tableColumn id="21" name="TOTALE" dataDxfId="107">
      <calculatedColumnFormula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calculatedColumnFormula>
    </tableColumn>
    <tableColumn id="22" name="Colonna16" dataDxfId="108">
      <calculatedColumnFormula>AVERAGE(FEMMINE7[[#This Row],[18-feb]:[Data 18]])</calculatedColumnFormula>
    </tableColumn>
    <tableColumn id="23" name=" DATA    " dataDxfId="109"/>
    <tableColumn id="24" name="Colonna18" dataDxfId="110"/>
    <tableColumn id="25" name="Colonna1" dataDxfId="111">
      <calculatedColumnFormula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calculatedColumnFormula>
    </tableColumn>
    <tableColumn id="26" name="Colonna20" dataDxfId="112">
      <calculatedColumnFormula>IFERROR(IF(E9=0,"",AC9/E9),"")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>
  <autoFilter xmlns:etc="http://www.wps.cn/officeDocument/2017/etCustomData" ref="M5:N46" etc:filterBottomFollowUsedRange="0"/>
  <tableColumns count="2">
    <tableColumn id="1" name="Posizione in classifica" dataDxfId="113"/>
    <tableColumn id="2" name="Punti attribuiti" dataDxfId="1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8"/>
  <sheetViews>
    <sheetView zoomScale="70" zoomScaleNormal="70" zoomScaleSheetLayoutView="40" workbookViewId="0">
      <selection activeCell="O22" sqref="O22"/>
    </sheetView>
  </sheetViews>
  <sheetFormatPr defaultColWidth="9.14285714285714" defaultRowHeight="25.5" customHeight="1"/>
  <cols>
    <col min="1" max="1" width="10.4285714285714" style="79" customWidth="1"/>
    <col min="2" max="2" width="42.5714285714286" style="79" customWidth="1"/>
    <col min="3" max="3" width="17.7142857142857" style="79" customWidth="1"/>
    <col min="4" max="4" width="15" style="79" customWidth="1"/>
    <col min="5" max="5" width="12.4285714285714" style="79" customWidth="1"/>
    <col min="6" max="6" width="21.4285714285714" style="79" customWidth="1"/>
    <col min="7" max="7" width="12.7142857142857" style="79" customWidth="1"/>
    <col min="8" max="8" width="13.2857142857143" style="79" customWidth="1"/>
    <col min="9" max="9" width="12.2857142857143" style="79" customWidth="1"/>
    <col min="10" max="18" width="12.5714285714286" style="79" customWidth="1"/>
    <col min="19" max="19" width="14.7142857142857" style="79" customWidth="1"/>
    <col min="20" max="20" width="15" style="79" customWidth="1"/>
    <col min="21" max="21" width="4" style="79" customWidth="1"/>
    <col min="22" max="22" width="15.1428571428571" style="79" customWidth="1"/>
    <col min="23" max="23" width="4" style="79" customWidth="1"/>
    <col min="24" max="25" width="15" style="79" customWidth="1"/>
    <col min="26" max="26" width="9.14285714285714" style="79"/>
    <col min="27" max="66" width="9.14285714285714" style="202"/>
    <col min="67" max="16384" width="9.14285714285714" style="79"/>
  </cols>
  <sheetData>
    <row r="1" ht="72.95" customHeight="1" spans="1: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159"/>
    </row>
    <row r="2" customHeight="1" spans="1:25">
      <c r="A2" s="203"/>
      <c r="B2" s="203"/>
      <c r="C2" s="203"/>
      <c r="D2" s="203"/>
      <c r="E2" s="203"/>
      <c r="F2" s="203"/>
      <c r="G2" s="206">
        <f>IF(COUNTA(MASCHI[data1])=0,0,COUNTA(MASCHI[data1]))</f>
        <v>0</v>
      </c>
      <c r="H2" s="206">
        <f>IF(COUNTA(MASCHI[data2])=0,0,COUNTA(MASCHI[data2]))</f>
        <v>0</v>
      </c>
      <c r="I2" s="206">
        <f>IF(COUNTA(MASCHI[data3])=0,0,COUNTA(MASCHI[data3]))</f>
        <v>0</v>
      </c>
      <c r="J2" s="206">
        <f>IF(COUNTA(MASCHI[data4])=0,0,COUNTA(MASCHI[data4]))</f>
        <v>0</v>
      </c>
      <c r="K2" s="206">
        <f>IF(COUNTA(MASCHI[data5])=0,0,COUNTA(MASCHI[data5]))</f>
        <v>0</v>
      </c>
      <c r="L2" s="206">
        <f>IF(COUNTA(MASCHI[data6])=0,0,COUNTA(MASCHI[data6]))</f>
        <v>0</v>
      </c>
      <c r="M2" s="206">
        <f>IF(COUNTA(MASCHI[data7])=0,0,COUNTA(MASCHI[data7]))</f>
        <v>0</v>
      </c>
      <c r="N2" s="206">
        <f>IF(COUNTA(MASCHI[data8])=0,0,COUNTA(MASCHI[data8]))</f>
        <v>0</v>
      </c>
      <c r="O2" s="206">
        <f>IF(COUNTA(MASCHI[data9])=0,0,COUNTA(MASCHI[data9]))</f>
        <v>0</v>
      </c>
      <c r="P2" s="206">
        <f>IF(COUNTA(MASCHI[data10])=0,0,COUNTA(MASCHI[data10]))</f>
        <v>0</v>
      </c>
      <c r="Q2" s="206">
        <f>IF(COUNTA(MASCHI[data11])=0,0,COUNTA(MASCHI[data11]))</f>
        <v>0</v>
      </c>
      <c r="R2" s="206">
        <f>IF(COUNTA(MASCHI[data12])=0,0,COUNTA(MASCHI[data12]))</f>
        <v>0</v>
      </c>
      <c r="S2" s="206">
        <f>IF(COUNTA(MASCHI[data13])=0,0,COUNTA(MASCHI[data13]))</f>
        <v>0</v>
      </c>
      <c r="T2" s="206"/>
      <c r="U2" s="206"/>
      <c r="V2" s="206">
        <f>IF(COUNTA(MASCHI[data13])=0,0,COUNTA(MASCHI[data13]))</f>
        <v>0</v>
      </c>
      <c r="W2" s="260"/>
      <c r="X2" s="260"/>
      <c r="Y2" s="260"/>
    </row>
    <row r="3" customHeight="1" spans="1:25">
      <c r="A3" s="203"/>
      <c r="B3" s="203"/>
      <c r="C3" s="203"/>
      <c r="D3" s="203"/>
      <c r="E3" s="203"/>
      <c r="F3" s="307"/>
      <c r="G3" s="206">
        <f>IF(G2=0,0,1)</f>
        <v>0</v>
      </c>
      <c r="H3" s="206">
        <f t="shared" ref="H3:S3" si="0">IF(H2=0,0,1)</f>
        <v>0</v>
      </c>
      <c r="I3" s="206">
        <f t="shared" si="0"/>
        <v>0</v>
      </c>
      <c r="J3" s="206">
        <f t="shared" si="0"/>
        <v>0</v>
      </c>
      <c r="K3" s="206">
        <f t="shared" si="0"/>
        <v>0</v>
      </c>
      <c r="L3" s="206">
        <f t="shared" si="0"/>
        <v>0</v>
      </c>
      <c r="M3" s="206">
        <f t="shared" si="0"/>
        <v>0</v>
      </c>
      <c r="N3" s="206">
        <f t="shared" si="0"/>
        <v>0</v>
      </c>
      <c r="O3" s="206">
        <f t="shared" si="0"/>
        <v>0</v>
      </c>
      <c r="P3" s="206">
        <f t="shared" si="0"/>
        <v>0</v>
      </c>
      <c r="Q3" s="206">
        <f t="shared" si="0"/>
        <v>0</v>
      </c>
      <c r="R3" s="206">
        <f t="shared" si="0"/>
        <v>0</v>
      </c>
      <c r="S3" s="206">
        <f t="shared" si="0"/>
        <v>0</v>
      </c>
      <c r="T3" s="206">
        <f>SUM(G3:S3)+V3</f>
        <v>0</v>
      </c>
      <c r="U3" s="206"/>
      <c r="V3" s="206">
        <f t="shared" ref="V3" si="1">IF(V2=0,0,1)</f>
        <v>0</v>
      </c>
      <c r="W3" s="260"/>
      <c r="X3" s="260"/>
      <c r="Y3" s="260"/>
    </row>
    <row r="4" customHeight="1" spans="1:25">
      <c r="A4" s="208" t="s">
        <v>1</v>
      </c>
      <c r="B4" s="209"/>
      <c r="C4" s="209"/>
      <c r="D4" s="209"/>
      <c r="E4" s="210"/>
      <c r="F4" s="308"/>
      <c r="G4" s="212" t="s">
        <v>2</v>
      </c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61"/>
    </row>
    <row r="5" customHeight="1" spans="1:25">
      <c r="A5" s="214"/>
      <c r="B5" s="215"/>
      <c r="C5" s="215"/>
      <c r="D5" s="215"/>
      <c r="E5" s="216"/>
      <c r="F5" s="309"/>
      <c r="G5" s="218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62"/>
    </row>
    <row r="6" customHeight="1" spans="1:31">
      <c r="A6" s="220"/>
      <c r="B6" s="221"/>
      <c r="C6" s="221"/>
      <c r="D6" s="221"/>
      <c r="E6" s="222"/>
      <c r="F6" s="203"/>
      <c r="G6" s="223" t="s">
        <v>3</v>
      </c>
      <c r="H6" s="223" t="s">
        <v>4</v>
      </c>
      <c r="I6" s="223" t="s">
        <v>5</v>
      </c>
      <c r="J6" s="223" t="s">
        <v>6</v>
      </c>
      <c r="K6" s="223" t="s">
        <v>7</v>
      </c>
      <c r="L6" s="223" t="s">
        <v>8</v>
      </c>
      <c r="M6" s="223" t="s">
        <v>9</v>
      </c>
      <c r="N6" s="223" t="s">
        <v>10</v>
      </c>
      <c r="O6" s="223" t="s">
        <v>11</v>
      </c>
      <c r="P6" s="223" t="s">
        <v>12</v>
      </c>
      <c r="Q6" s="223" t="s">
        <v>13</v>
      </c>
      <c r="R6" s="223" t="s">
        <v>14</v>
      </c>
      <c r="S6" s="311" t="s">
        <v>15</v>
      </c>
      <c r="T6" s="263"/>
      <c r="U6" s="163"/>
      <c r="V6" s="164" t="s">
        <v>16</v>
      </c>
      <c r="W6" s="163"/>
      <c r="X6" s="165" t="s">
        <v>17</v>
      </c>
      <c r="Y6" s="264" t="s">
        <v>18</v>
      </c>
      <c r="Z6" s="167"/>
      <c r="AA6" s="141"/>
      <c r="AB6" s="141"/>
      <c r="AC6" s="141"/>
      <c r="AD6" s="141"/>
      <c r="AE6" s="141"/>
    </row>
    <row r="7" s="78" customFormat="1" customHeight="1" spans="1:66">
      <c r="A7" s="203"/>
      <c r="B7" s="203"/>
      <c r="C7" s="203"/>
      <c r="D7" s="203"/>
      <c r="E7" s="203"/>
      <c r="F7" s="203"/>
      <c r="G7" s="224" t="s">
        <v>19</v>
      </c>
      <c r="H7" s="224" t="s">
        <v>19</v>
      </c>
      <c r="I7" s="224" t="s">
        <v>19</v>
      </c>
      <c r="J7" s="224" t="s">
        <v>19</v>
      </c>
      <c r="K7" s="224" t="s">
        <v>19</v>
      </c>
      <c r="L7" s="224" t="s">
        <v>19</v>
      </c>
      <c r="M7" s="224" t="s">
        <v>19</v>
      </c>
      <c r="N7" s="224" t="s">
        <v>19</v>
      </c>
      <c r="O7" s="224" t="s">
        <v>19</v>
      </c>
      <c r="P7" s="224" t="s">
        <v>19</v>
      </c>
      <c r="Q7" s="224" t="s">
        <v>19</v>
      </c>
      <c r="R7" s="224" t="s">
        <v>19</v>
      </c>
      <c r="S7" s="312" t="s">
        <v>19</v>
      </c>
      <c r="T7" s="265"/>
      <c r="U7" s="169"/>
      <c r="V7" s="170"/>
      <c r="W7" s="169"/>
      <c r="X7" s="165"/>
      <c r="Y7" s="264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</row>
    <row r="8" customHeight="1" spans="1:26">
      <c r="A8" s="287" t="s">
        <v>20</v>
      </c>
      <c r="B8" s="288" t="s">
        <v>21</v>
      </c>
      <c r="C8" s="289" t="s">
        <v>22</v>
      </c>
      <c r="D8" s="289" t="s">
        <v>23</v>
      </c>
      <c r="E8" s="290" t="s">
        <v>24</v>
      </c>
      <c r="F8" s="289" t="s">
        <v>25</v>
      </c>
      <c r="G8" s="320" t="s">
        <v>26</v>
      </c>
      <c r="H8" s="320" t="s">
        <v>27</v>
      </c>
      <c r="I8" s="320" t="s">
        <v>28</v>
      </c>
      <c r="J8" s="320" t="s">
        <v>29</v>
      </c>
      <c r="K8" s="320" t="s">
        <v>30</v>
      </c>
      <c r="L8" s="320" t="s">
        <v>31</v>
      </c>
      <c r="M8" s="320" t="s">
        <v>32</v>
      </c>
      <c r="N8" s="320" t="s">
        <v>33</v>
      </c>
      <c r="O8" s="320" t="s">
        <v>34</v>
      </c>
      <c r="P8" s="320" t="s">
        <v>35</v>
      </c>
      <c r="Q8" s="320" t="s">
        <v>36</v>
      </c>
      <c r="R8" s="320" t="s">
        <v>37</v>
      </c>
      <c r="S8" s="321" t="s">
        <v>38</v>
      </c>
      <c r="T8" s="314" t="s">
        <v>39</v>
      </c>
      <c r="U8" s="171" t="s">
        <v>40</v>
      </c>
      <c r="V8" s="322" t="s">
        <v>41</v>
      </c>
      <c r="W8" s="173" t="s">
        <v>42</v>
      </c>
      <c r="X8" s="174" t="s">
        <v>43</v>
      </c>
      <c r="Y8" s="306" t="s">
        <v>44</v>
      </c>
      <c r="Z8" s="81"/>
    </row>
    <row r="9" customHeight="1" spans="1:26">
      <c r="A9" s="292">
        <f t="shared" ref="A9:A11" si="2">IF(A8="Elenco",1,IF(B9="","",A8+1))</f>
        <v>1</v>
      </c>
      <c r="B9" s="293" t="s">
        <v>45</v>
      </c>
      <c r="C9" s="294"/>
      <c r="D9" s="294" t="s">
        <v>46</v>
      </c>
      <c r="E9" s="113" t="str">
        <f t="shared" ref="E9:E11" si="3">IF(COUNTA(G9:S9)+COUNTA(V9:V9)=0,"",COUNTA(G9:S9)+COUNTA(V9:V9))</f>
        <v/>
      </c>
      <c r="F9" s="29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271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9" s="272" t="e">
        <f>AVERAGE(MASCHI[[#This Row],[data1]:[data13]])</f>
        <v>#DIV/0!</v>
      </c>
      <c r="V9" s="178"/>
      <c r="W9" s="179"/>
      <c r="X9" s="180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9" s="273" t="str">
        <f t="shared" ref="Y9:Y11" si="4">IFERROR(IF(E9=0,"",X9/E9),"")</f>
        <v/>
      </c>
      <c r="Z9" s="81"/>
    </row>
    <row r="10" customHeight="1" spans="1:26">
      <c r="A10" s="292">
        <f t="shared" si="2"/>
        <v>2</v>
      </c>
      <c r="B10" s="293" t="s">
        <v>45</v>
      </c>
      <c r="C10" s="294"/>
      <c r="D10" s="294"/>
      <c r="E10" s="113" t="str">
        <f t="shared" si="3"/>
        <v/>
      </c>
      <c r="F10" s="29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271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0" s="272" t="e">
        <f>AVERAGE(MASCHI[[#This Row],[data1]:[data13]])</f>
        <v>#DIV/0!</v>
      </c>
      <c r="V10" s="178"/>
      <c r="W10" s="179"/>
      <c r="X10" s="180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0" s="273" t="str">
        <f t="shared" si="4"/>
        <v/>
      </c>
      <c r="Z10" s="81"/>
    </row>
    <row r="11" customHeight="1" spans="1:26">
      <c r="A11" s="292">
        <f t="shared" si="2"/>
        <v>3</v>
      </c>
      <c r="B11" s="293" t="s">
        <v>45</v>
      </c>
      <c r="C11" s="294"/>
      <c r="D11" s="294"/>
      <c r="E11" s="113" t="str">
        <f t="shared" si="3"/>
        <v/>
      </c>
      <c r="F11" s="295"/>
      <c r="G11" s="115"/>
      <c r="H11" s="115"/>
      <c r="I11" s="302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76" t="str">
        <f>IF(IF(MASCHI[[#This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Row],[data1]]&lt;&gt;0,LOOKUP(MASCHI[[#This Row],[data1]],Tabella4[1],Tabella4[100]),0)+IF(MASCHI[[#This Row],[data2]]&lt;&gt;0,LOOKUP(MASCHI[[#This Row],[data2]],Tabella4[1],Tabella4[100]),0)+IF(MASCHI[[#This Row],[data3]]&lt;&gt;0,LOOKUP(MASCHI[[#This Row],[data3]],Tabella4[1],Tabella4[100]),0)+IF(MASCHI[[#This Row],[data4]]&lt;&gt;0,LOOKUP(MASCHI[[#This Row],[data4]],Tabella4[1],Tabella4[100]),0)+IF(MASCHI[[#This Row],[data5]]&lt;&gt;0,LOOKUP(MASCHI[[#This Row],[data5]],Tabella4[1],Tabella4[100]),0)+IF(MASCHI[[#This Row],[data6]]&lt;&gt;0,LOOKUP(MASCHI[[#This Row],[data6]],Tabella4[1],Tabella4[100]),0)+IF(MASCHI[[#This Row],[data7]]&lt;&gt;0,LOOKUP(MASCHI[[#This Row],[data7]],Tabella4[1],Tabella4[100]),0)+IF(MASCHI[[#This Row],[data8]]&lt;&gt;0,LOOKUP(MASCHI[[#This Row],[data8]],Tabella4[1],Tabella4[100]),0)+IF(MASCHI[[#This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/>
      </c>
      <c r="U11" s="272" t="e">
        <f>AVERAGE(MASCHI[[#This Row],[data1]:[data13]])</f>
        <v>#DIV/0!</v>
      </c>
      <c r="V11" s="178"/>
      <c r="W11" s="179"/>
      <c r="X11" s="180" t="str">
        <f>IFERROR(IF(MASCHI[[#This Row],[TOTALE]]+(IF(MASCHI[[#This Row],[ DATA    ]]="",0,LOOKUP(MASCHI[[#This Row],[ DATA    ]],Tabella4[1],Tabella4[100])))=0,"",(MASCHI[[#This Row],[TOTALE]]+(IF(MASCHI[[#This Row],[ DATA    ]]="",0,(LOOKUP(MASCHI[[#This Row],[ DATA    ]],Tabella4[1],Tabella4[100])))*1.5))),"")</f>
        <v/>
      </c>
      <c r="Y11" s="273" t="str">
        <f t="shared" si="4"/>
        <v/>
      </c>
      <c r="Z11" s="81"/>
    </row>
    <row r="12" customHeight="1" spans="26:26">
      <c r="Z12" s="81"/>
    </row>
    <row r="18" customHeight="1" spans="6:6">
      <c r="F18" s="138"/>
    </row>
    <row r="19" customHeight="1" spans="6:6">
      <c r="F19" s="138"/>
    </row>
    <row r="20" customHeight="1" spans="1:2">
      <c r="A20" s="136"/>
      <c r="B20" s="137"/>
    </row>
    <row r="21" customHeight="1" spans="1:2">
      <c r="A21" s="136"/>
      <c r="B21" s="137"/>
    </row>
    <row r="22" customHeight="1" spans="1:2">
      <c r="A22" s="136"/>
      <c r="B22" s="137"/>
    </row>
    <row r="23" customHeight="1" spans="1:2">
      <c r="A23" s="136"/>
      <c r="B23" s="137"/>
    </row>
    <row r="24" customHeight="1" spans="1:2">
      <c r="A24" s="136"/>
      <c r="B24" s="137"/>
    </row>
    <row r="25" customHeight="1" spans="1:2">
      <c r="A25" s="136"/>
      <c r="B25" s="137"/>
    </row>
    <row r="26" customHeight="1" spans="1:2">
      <c r="A26" s="136"/>
      <c r="B26" s="137"/>
    </row>
    <row r="27" customHeight="1" spans="1:2">
      <c r="A27" s="136"/>
      <c r="B27" s="137"/>
    </row>
    <row r="28" customHeight="1" spans="1:2">
      <c r="A28" s="136"/>
      <c r="B28" s="137"/>
    </row>
    <row r="29" customHeight="1" spans="1:2">
      <c r="A29" s="136"/>
      <c r="B29" s="137"/>
    </row>
    <row r="30" customHeight="1" spans="1:2">
      <c r="A30" s="136"/>
      <c r="B30" s="137"/>
    </row>
    <row r="31" customHeight="1" spans="1:2">
      <c r="A31" s="136"/>
      <c r="B31" s="137"/>
    </row>
    <row r="32" customHeight="1" spans="1:2">
      <c r="A32" s="136"/>
      <c r="B32" s="137"/>
    </row>
    <row r="33" customHeight="1" spans="1:2">
      <c r="A33" s="136"/>
      <c r="B33" s="137"/>
    </row>
    <row r="34" customHeight="1" spans="1:2">
      <c r="A34" s="136"/>
      <c r="B34" s="137"/>
    </row>
    <row r="35" customHeight="1" spans="1:2">
      <c r="A35" s="136"/>
      <c r="B35" s="137"/>
    </row>
    <row r="36" customHeight="1" spans="1:2">
      <c r="A36" s="136"/>
      <c r="B36" s="137"/>
    </row>
    <row r="37" customHeight="1" spans="1:2">
      <c r="A37" s="136"/>
      <c r="B37" s="137"/>
    </row>
    <row r="38" customHeight="1" spans="1:2">
      <c r="A38" s="136"/>
      <c r="B38" s="137"/>
    </row>
    <row r="39" customHeight="1" spans="1:2">
      <c r="A39" s="136"/>
      <c r="B39" s="137"/>
    </row>
    <row r="40" customHeight="1" spans="1:2">
      <c r="A40" s="136"/>
      <c r="B40" s="137"/>
    </row>
    <row r="41" customHeight="1" spans="1:2">
      <c r="A41" s="136"/>
      <c r="B41" s="137"/>
    </row>
    <row r="42" customHeight="1" spans="1:2">
      <c r="A42" s="136"/>
      <c r="B42" s="137"/>
    </row>
    <row r="43" customHeight="1" spans="1:6">
      <c r="A43" s="136"/>
      <c r="B43" s="137"/>
      <c r="F43" s="138"/>
    </row>
    <row r="44" customHeight="1" spans="1:6">
      <c r="A44" s="136"/>
      <c r="B44" s="137"/>
      <c r="F44" s="138"/>
    </row>
    <row r="45" customHeight="1" spans="1:6">
      <c r="A45" s="136"/>
      <c r="B45" s="137"/>
      <c r="F45" s="138"/>
    </row>
    <row r="46" customHeight="1" spans="1:6">
      <c r="A46" s="136"/>
      <c r="B46" s="137"/>
      <c r="F46" s="138"/>
    </row>
    <row r="47" customHeight="1" spans="1:6">
      <c r="A47" s="136"/>
      <c r="B47" s="137"/>
      <c r="F47" s="138"/>
    </row>
    <row r="48" customHeight="1" spans="1:6">
      <c r="A48" s="136"/>
      <c r="B48" s="137"/>
      <c r="F48" s="138"/>
    </row>
    <row r="49" customHeight="1" spans="1:6">
      <c r="A49" s="136"/>
      <c r="B49" s="137"/>
      <c r="F49" s="138"/>
    </row>
    <row r="50" customHeight="1" spans="1:6">
      <c r="A50" s="136"/>
      <c r="B50" s="137"/>
      <c r="F50" s="138"/>
    </row>
    <row r="51" customHeight="1" spans="1:6">
      <c r="A51" s="136"/>
      <c r="B51" s="137"/>
      <c r="F51" s="138"/>
    </row>
    <row r="52" customHeight="1" spans="1:6">
      <c r="A52" s="136"/>
      <c r="B52" s="137"/>
      <c r="F52" s="138"/>
    </row>
    <row r="53" customHeight="1" spans="1:6">
      <c r="A53" s="136"/>
      <c r="B53" s="137"/>
      <c r="F53" s="138"/>
    </row>
    <row r="54" customHeight="1" spans="1:6">
      <c r="A54" s="136"/>
      <c r="B54" s="137"/>
      <c r="F54" s="138"/>
    </row>
    <row r="55" customHeight="1" spans="1:6">
      <c r="A55" s="136"/>
      <c r="B55" s="137"/>
      <c r="F55" s="138"/>
    </row>
    <row r="56" customHeight="1" spans="1:6">
      <c r="A56" s="136"/>
      <c r="B56" s="137"/>
      <c r="F56" s="138"/>
    </row>
    <row r="57" customHeight="1" spans="1:6">
      <c r="A57" s="136"/>
      <c r="B57" s="137"/>
      <c r="F57" s="138"/>
    </row>
    <row r="58" customHeight="1" spans="1:6">
      <c r="A58" s="136"/>
      <c r="B58" s="137"/>
      <c r="F58" s="138"/>
    </row>
    <row r="59" customHeight="1" spans="1:6">
      <c r="A59" s="136"/>
      <c r="B59" s="137"/>
      <c r="F59" s="138"/>
    </row>
    <row r="60" customHeight="1" spans="1:6">
      <c r="A60" s="136"/>
      <c r="B60" s="137"/>
      <c r="F60" s="138"/>
    </row>
    <row r="61" customHeight="1" spans="1:6">
      <c r="A61" s="136"/>
      <c r="B61" s="137"/>
      <c r="F61" s="138"/>
    </row>
    <row r="62" customHeight="1" spans="1:6">
      <c r="A62" s="136"/>
      <c r="B62" s="137"/>
      <c r="F62" s="138"/>
    </row>
    <row r="63" customHeight="1" spans="1:6">
      <c r="A63" s="136"/>
      <c r="B63" s="137"/>
      <c r="F63" s="138"/>
    </row>
    <row r="64" customHeight="1" spans="1:6">
      <c r="A64" s="136"/>
      <c r="B64" s="137"/>
      <c r="F64" s="138"/>
    </row>
    <row r="65" customHeight="1" spans="1:6">
      <c r="A65" s="136"/>
      <c r="B65" s="137"/>
      <c r="F65" s="138"/>
    </row>
    <row r="66" customHeight="1" spans="1:6">
      <c r="A66" s="136"/>
      <c r="B66" s="137"/>
      <c r="F66" s="138"/>
    </row>
    <row r="67" customHeight="1" spans="1:6">
      <c r="A67" s="136"/>
      <c r="B67" s="137"/>
      <c r="F67" s="138"/>
    </row>
    <row r="68" customHeight="1" spans="1:6">
      <c r="A68" s="136"/>
      <c r="B68" s="137"/>
      <c r="F68" s="138"/>
    </row>
    <row r="69" customHeight="1" spans="1:6">
      <c r="A69" s="136"/>
      <c r="B69" s="137"/>
      <c r="F69" s="138"/>
    </row>
    <row r="70" customHeight="1" spans="1:6">
      <c r="A70" s="136"/>
      <c r="B70" s="137"/>
      <c r="F70" s="138"/>
    </row>
    <row r="71" customHeight="1" spans="1:6">
      <c r="A71" s="136"/>
      <c r="B71" s="137"/>
      <c r="F71" s="138"/>
    </row>
    <row r="72" customHeight="1" spans="1:6">
      <c r="A72" s="136"/>
      <c r="B72" s="137"/>
      <c r="F72" s="138"/>
    </row>
    <row r="73" customHeight="1" spans="1:6">
      <c r="A73" s="136"/>
      <c r="B73" s="137"/>
      <c r="F73" s="138"/>
    </row>
    <row r="74" customHeight="1" spans="1:6">
      <c r="A74" s="136"/>
      <c r="B74" s="137"/>
      <c r="F74" s="138"/>
    </row>
    <row r="75" customHeight="1" spans="1:6">
      <c r="A75" s="136"/>
      <c r="B75" s="137"/>
      <c r="F75" s="138"/>
    </row>
    <row r="76" customHeight="1" spans="1:6">
      <c r="A76" s="136"/>
      <c r="B76" s="137"/>
      <c r="F76" s="138"/>
    </row>
    <row r="77" customHeight="1" spans="1:6">
      <c r="A77" s="136"/>
      <c r="B77" s="137"/>
      <c r="F77" s="138"/>
    </row>
    <row r="78" customHeight="1" spans="1:6">
      <c r="A78" s="136"/>
      <c r="B78" s="137"/>
      <c r="F78" s="138"/>
    </row>
    <row r="79" customHeight="1" spans="1:6">
      <c r="A79" s="136"/>
      <c r="B79" s="137"/>
      <c r="F79" s="138"/>
    </row>
    <row r="80" customHeight="1" spans="1:6">
      <c r="A80" s="136"/>
      <c r="B80" s="137"/>
      <c r="F80" s="138"/>
    </row>
    <row r="81" customHeight="1" spans="1:6">
      <c r="A81" s="136"/>
      <c r="B81" s="137"/>
      <c r="F81" s="138"/>
    </row>
    <row r="82" customHeight="1" spans="1:6">
      <c r="A82" s="136"/>
      <c r="B82" s="137"/>
      <c r="F82" s="138"/>
    </row>
    <row r="83" customHeight="1" spans="1:6">
      <c r="A83" s="136"/>
      <c r="B83" s="137"/>
      <c r="F83" s="138"/>
    </row>
    <row r="84" customHeight="1" spans="1:6">
      <c r="A84" s="136"/>
      <c r="B84" s="137"/>
      <c r="F84" s="138"/>
    </row>
    <row r="85" customHeight="1" spans="1:6">
      <c r="A85" s="136"/>
      <c r="B85" s="137"/>
      <c r="F85" s="138"/>
    </row>
    <row r="86" customHeight="1" spans="1:22">
      <c r="A86" s="136"/>
      <c r="B86" s="137"/>
      <c r="E86" s="202"/>
      <c r="F86" s="140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</row>
    <row r="87" customHeight="1" spans="1:22">
      <c r="A87" s="136"/>
      <c r="B87" s="137"/>
      <c r="E87" s="202"/>
      <c r="F87" s="140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</row>
    <row r="88" customHeight="1" spans="1:22">
      <c r="A88" s="136"/>
      <c r="E88" s="202"/>
      <c r="F88" s="139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99"/>
      <c r="U88" s="202"/>
      <c r="V88" s="202"/>
    </row>
    <row r="89" customHeight="1" spans="1:22">
      <c r="A89" s="136"/>
      <c r="E89" s="202"/>
      <c r="F89" s="139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202"/>
      <c r="U89" s="202"/>
      <c r="V89" s="140"/>
    </row>
    <row r="90" customHeight="1" spans="1:22">
      <c r="A90" s="136"/>
      <c r="E90" s="202"/>
      <c r="F90" s="139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202"/>
      <c r="U90" s="202"/>
      <c r="V90" s="140"/>
    </row>
    <row r="91" customHeight="1" spans="1:22">
      <c r="A91" s="136"/>
      <c r="E91" s="202"/>
      <c r="F91" s="139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99"/>
      <c r="U91" s="202"/>
      <c r="V91" s="156"/>
    </row>
    <row r="92" customHeight="1" spans="1:22">
      <c r="A92" s="136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156"/>
    </row>
    <row r="93" customHeight="1" spans="1:22">
      <c r="A93" s="136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</row>
    <row r="94" customHeight="1" spans="1:22">
      <c r="A94" s="136"/>
      <c r="B94" s="141"/>
      <c r="C94" s="143"/>
      <c r="D94" s="143"/>
      <c r="E94" s="315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</row>
    <row r="95" customHeight="1" spans="1:22">
      <c r="A95" s="136"/>
      <c r="B95" s="144"/>
      <c r="C95" s="145"/>
      <c r="D95" s="145"/>
      <c r="E95" s="316"/>
      <c r="F95" s="147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</row>
    <row r="96" customHeight="1" spans="1:22">
      <c r="A96" s="136"/>
      <c r="B96" s="154"/>
      <c r="C96" s="149"/>
      <c r="D96" s="149"/>
      <c r="E96" s="317"/>
      <c r="F96" s="151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</row>
    <row r="97" customHeight="1" spans="1:22">
      <c r="A97" s="136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</row>
    <row r="98" customHeight="1" spans="1:22">
      <c r="A98" s="136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</row>
    <row r="99" customHeight="1" spans="1:22">
      <c r="A99" s="136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</row>
    <row r="100" customHeight="1" spans="1:22">
      <c r="A100" s="136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</row>
    <row r="101" customHeight="1" spans="1:22">
      <c r="A101" s="152"/>
      <c r="B101" s="154"/>
      <c r="E101" s="318"/>
      <c r="F101" s="319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</row>
    <row r="102" customHeight="1" spans="1:22">
      <c r="A102" s="152"/>
      <c r="B102" s="154"/>
      <c r="E102" s="318"/>
      <c r="F102" s="319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</row>
    <row r="103" customHeight="1" spans="1:6">
      <c r="A103" s="152"/>
      <c r="B103" s="154"/>
      <c r="E103" s="153"/>
      <c r="F103" s="154"/>
    </row>
    <row r="104" customHeight="1" spans="1:6">
      <c r="A104" s="152"/>
      <c r="B104" s="154"/>
      <c r="E104" s="153"/>
      <c r="F104" s="154"/>
    </row>
    <row r="105" customHeight="1" spans="1:6">
      <c r="A105" s="152"/>
      <c r="B105" s="154"/>
      <c r="E105" s="153"/>
      <c r="F105" s="154"/>
    </row>
    <row r="106" customHeight="1" spans="1:6">
      <c r="A106" s="152"/>
      <c r="B106" s="154"/>
      <c r="E106" s="153"/>
      <c r="F106" s="154"/>
    </row>
    <row r="107" customHeight="1" spans="1:6">
      <c r="A107" s="152"/>
      <c r="B107" s="154"/>
      <c r="E107" s="153"/>
      <c r="F107" s="154"/>
    </row>
    <row r="108" customHeight="1" spans="1:6">
      <c r="A108" s="152"/>
      <c r="B108" s="154"/>
      <c r="E108" s="153"/>
      <c r="F108" s="154"/>
    </row>
    <row r="109" customHeight="1" spans="1:6">
      <c r="A109" s="152"/>
      <c r="B109" s="154"/>
      <c r="E109" s="153"/>
      <c r="F109" s="154"/>
    </row>
    <row r="110" customHeight="1" spans="1:6">
      <c r="A110" s="152"/>
      <c r="B110" s="154"/>
      <c r="E110" s="153"/>
      <c r="F110" s="154"/>
    </row>
    <row r="111" customHeight="1" spans="1:6">
      <c r="A111" s="152"/>
      <c r="B111" s="154"/>
      <c r="E111" s="153"/>
      <c r="F111" s="154"/>
    </row>
    <row r="112" customHeight="1" spans="1:6">
      <c r="A112" s="152"/>
      <c r="B112" s="154"/>
      <c r="E112" s="153"/>
      <c r="F112" s="154"/>
    </row>
    <row r="113" customHeight="1" spans="1:6">
      <c r="A113" s="152"/>
      <c r="B113" s="154"/>
      <c r="E113" s="153"/>
      <c r="F113" s="154"/>
    </row>
    <row r="114" customHeight="1" spans="1:6">
      <c r="A114" s="152"/>
      <c r="B114" s="154"/>
      <c r="E114" s="153"/>
      <c r="F114" s="154"/>
    </row>
    <row r="115" customHeight="1" spans="1:6">
      <c r="A115" s="152"/>
      <c r="B115" s="154"/>
      <c r="E115" s="153"/>
      <c r="F115" s="154"/>
    </row>
    <row r="116" customHeight="1" spans="1:6">
      <c r="A116" s="152"/>
      <c r="B116" s="154"/>
      <c r="E116" s="153"/>
      <c r="F116" s="154"/>
    </row>
    <row r="117" customHeight="1" spans="1:6">
      <c r="A117" s="152"/>
      <c r="B117" s="154"/>
      <c r="E117" s="153"/>
      <c r="F117" s="154"/>
    </row>
    <row r="118" customHeight="1" spans="1:6">
      <c r="A118" s="152"/>
      <c r="B118" s="154"/>
      <c r="E118" s="153"/>
      <c r="F118" s="154"/>
    </row>
    <row r="119" customHeight="1" spans="1:6">
      <c r="A119" s="152"/>
      <c r="B119" s="154"/>
      <c r="E119" s="153"/>
      <c r="F119" s="154"/>
    </row>
    <row r="120" customHeight="1" spans="1:6">
      <c r="A120" s="152"/>
      <c r="B120" s="154"/>
      <c r="E120" s="153"/>
      <c r="F120" s="154"/>
    </row>
    <row r="121" customHeight="1" spans="1:6">
      <c r="A121" s="152"/>
      <c r="B121" s="154"/>
      <c r="E121" s="153"/>
      <c r="F121" s="154"/>
    </row>
    <row r="122" customHeight="1" spans="1:6">
      <c r="A122" s="152"/>
      <c r="B122" s="154"/>
      <c r="E122" s="153"/>
      <c r="F122" s="154"/>
    </row>
    <row r="123" customHeight="1" spans="1:6">
      <c r="A123" s="152"/>
      <c r="B123" s="154"/>
      <c r="E123" s="153"/>
      <c r="F123" s="154"/>
    </row>
    <row r="124" customHeight="1" spans="1:6">
      <c r="A124" s="152"/>
      <c r="B124" s="154"/>
      <c r="E124" s="153"/>
      <c r="F124" s="154"/>
    </row>
    <row r="125" customHeight="1" spans="1:6">
      <c r="A125" s="152"/>
      <c r="B125" s="154"/>
      <c r="E125" s="153"/>
      <c r="F125" s="154"/>
    </row>
    <row r="126" customHeight="1" spans="1:6">
      <c r="A126" s="152"/>
      <c r="B126" s="154"/>
      <c r="E126" s="153"/>
      <c r="F126" s="154"/>
    </row>
    <row r="127" customHeight="1" spans="1:6">
      <c r="A127" s="152"/>
      <c r="B127" s="154"/>
      <c r="E127" s="153"/>
      <c r="F127" s="154"/>
    </row>
    <row r="128" customHeight="1" spans="1:6">
      <c r="A128" s="152"/>
      <c r="B128" s="154"/>
      <c r="E128" s="153"/>
      <c r="F128" s="154"/>
    </row>
    <row r="129" customHeight="1" spans="1:6">
      <c r="A129" s="152"/>
      <c r="B129" s="154"/>
      <c r="E129" s="153"/>
      <c r="F129" s="154"/>
    </row>
    <row r="130" customHeight="1" spans="1:6">
      <c r="A130" s="152"/>
      <c r="B130" s="154"/>
      <c r="E130" s="153"/>
      <c r="F130" s="154"/>
    </row>
    <row r="131" customHeight="1" spans="1:6">
      <c r="A131" s="152"/>
      <c r="B131" s="154"/>
      <c r="E131" s="153"/>
      <c r="F131" s="154"/>
    </row>
    <row r="132" customHeight="1" spans="1:6">
      <c r="A132" s="152"/>
      <c r="B132" s="154"/>
      <c r="E132" s="153"/>
      <c r="F132" s="154"/>
    </row>
    <row r="133" customHeight="1" spans="1:6">
      <c r="A133" s="152"/>
      <c r="B133" s="154"/>
      <c r="E133" s="153"/>
      <c r="F133" s="154"/>
    </row>
    <row r="134" customHeight="1" spans="1:6">
      <c r="A134" s="152"/>
      <c r="B134" s="154"/>
      <c r="E134" s="153"/>
      <c r="F134" s="154"/>
    </row>
    <row r="135" customHeight="1" spans="1:6">
      <c r="A135" s="152"/>
      <c r="B135" s="154"/>
      <c r="E135" s="153"/>
      <c r="F135" s="154"/>
    </row>
    <row r="136" customHeight="1" spans="1:6">
      <c r="A136" s="152"/>
      <c r="B136" s="154"/>
      <c r="E136" s="153"/>
      <c r="F136" s="154"/>
    </row>
    <row r="137" customHeight="1" spans="1:6">
      <c r="A137" s="152"/>
      <c r="B137" s="154"/>
      <c r="E137" s="153"/>
      <c r="F137" s="154"/>
    </row>
    <row r="138" customHeight="1" spans="1:6">
      <c r="A138" s="152"/>
      <c r="B138" s="154"/>
      <c r="E138" s="153"/>
      <c r="F138" s="154"/>
    </row>
    <row r="139" customHeight="1" spans="1:6">
      <c r="A139" s="152"/>
      <c r="B139" s="154"/>
      <c r="E139" s="153"/>
      <c r="F139" s="154"/>
    </row>
    <row r="140" customHeight="1" spans="1:6">
      <c r="A140" s="152"/>
      <c r="B140" s="154"/>
      <c r="E140" s="153"/>
      <c r="F140" s="154"/>
    </row>
    <row r="141" customHeight="1" spans="1:6">
      <c r="A141" s="152"/>
      <c r="B141" s="154"/>
      <c r="E141" s="153"/>
      <c r="F141" s="154"/>
    </row>
    <row r="142" customHeight="1" spans="1:6">
      <c r="A142" s="152"/>
      <c r="B142" s="154"/>
      <c r="E142" s="153"/>
      <c r="F142" s="154"/>
    </row>
    <row r="143" customHeight="1" spans="1:6">
      <c r="A143" s="152"/>
      <c r="B143" s="154"/>
      <c r="E143" s="153"/>
      <c r="F143" s="154"/>
    </row>
    <row r="144" customHeight="1" spans="1:6">
      <c r="A144" s="152"/>
      <c r="B144" s="154"/>
      <c r="E144" s="153"/>
      <c r="F144" s="154"/>
    </row>
    <row r="145" customHeight="1" spans="1:6">
      <c r="A145" s="152"/>
      <c r="B145" s="154"/>
      <c r="E145" s="153"/>
      <c r="F145" s="154"/>
    </row>
    <row r="146" customHeight="1" spans="1:6">
      <c r="A146" s="152"/>
      <c r="B146" s="154"/>
      <c r="E146" s="153"/>
      <c r="F146" s="154"/>
    </row>
    <row r="147" customHeight="1" spans="1:6">
      <c r="A147" s="152"/>
      <c r="B147" s="154"/>
      <c r="E147" s="153"/>
      <c r="F147" s="154"/>
    </row>
    <row r="148" customHeight="1" spans="1:6">
      <c r="A148" s="152"/>
      <c r="B148" s="154"/>
      <c r="E148" s="153"/>
      <c r="F148" s="154"/>
    </row>
    <row r="149" customHeight="1" spans="1:6">
      <c r="A149" s="152"/>
      <c r="B149" s="154"/>
      <c r="E149" s="153"/>
      <c r="F149" s="154"/>
    </row>
    <row r="150" customHeight="1" spans="1:6">
      <c r="A150" s="152"/>
      <c r="B150" s="154"/>
      <c r="E150" s="153"/>
      <c r="F150" s="154"/>
    </row>
    <row r="151" customHeight="1" spans="1:6">
      <c r="A151" s="152"/>
      <c r="B151" s="154"/>
      <c r="E151" s="153"/>
      <c r="F151" s="154"/>
    </row>
    <row r="152" customHeight="1" spans="1:6">
      <c r="A152" s="152"/>
      <c r="B152" s="154"/>
      <c r="E152" s="153"/>
      <c r="F152" s="154"/>
    </row>
    <row r="153" customHeight="1" spans="1:6">
      <c r="A153" s="152"/>
      <c r="B153" s="154"/>
      <c r="E153" s="153"/>
      <c r="F153" s="154"/>
    </row>
    <row r="154" customHeight="1" spans="1:6">
      <c r="A154" s="152"/>
      <c r="B154" s="154"/>
      <c r="E154" s="153"/>
      <c r="F154" s="154"/>
    </row>
    <row r="155" customHeight="1" spans="1:6">
      <c r="A155" s="152"/>
      <c r="B155" s="154"/>
      <c r="E155" s="153"/>
      <c r="F155" s="154"/>
    </row>
    <row r="156" customHeight="1" spans="1:6">
      <c r="A156" s="152"/>
      <c r="B156" s="154"/>
      <c r="E156" s="153"/>
      <c r="F156" s="154"/>
    </row>
    <row r="157" customHeight="1" spans="1:6">
      <c r="A157" s="152"/>
      <c r="B157" s="154"/>
      <c r="E157" s="153"/>
      <c r="F157" s="154"/>
    </row>
    <row r="158" customHeight="1" spans="2:6">
      <c r="B158" s="200"/>
      <c r="C158" s="153"/>
      <c r="D158" s="153"/>
      <c r="E158" s="153"/>
      <c r="F158" s="138"/>
    </row>
    <row r="159" customHeight="1" spans="2:6">
      <c r="B159" s="200"/>
      <c r="C159" s="153"/>
      <c r="D159" s="153"/>
      <c r="E159" s="153"/>
      <c r="F159" s="138"/>
    </row>
    <row r="160" customHeight="1" spans="2:6">
      <c r="B160" s="201"/>
      <c r="C160" s="153"/>
      <c r="D160" s="153"/>
      <c r="E160" s="153"/>
      <c r="F160" s="138"/>
    </row>
    <row r="161" customHeight="1" spans="2:6">
      <c r="B161" s="200"/>
      <c r="C161" s="153"/>
      <c r="D161" s="153"/>
      <c r="E161" s="153"/>
      <c r="F161" s="138"/>
    </row>
    <row r="162" customHeight="1" spans="2:6">
      <c r="B162" s="200"/>
      <c r="C162" s="153"/>
      <c r="D162" s="153"/>
      <c r="E162" s="153"/>
      <c r="F162" s="138"/>
    </row>
    <row r="163" customHeight="1" spans="2:6">
      <c r="B163" s="201"/>
      <c r="C163" s="153"/>
      <c r="D163" s="153"/>
      <c r="E163" s="153"/>
      <c r="F163" s="138"/>
    </row>
    <row r="164" customHeight="1" spans="2:6">
      <c r="B164" s="200"/>
      <c r="C164" s="153"/>
      <c r="D164" s="153"/>
      <c r="E164" s="153"/>
      <c r="F164" s="138"/>
    </row>
    <row r="165" customHeight="1" spans="2:6">
      <c r="B165" s="200"/>
      <c r="C165" s="153"/>
      <c r="D165" s="153"/>
      <c r="E165" s="153"/>
      <c r="F165" s="138"/>
    </row>
    <row r="166" customHeight="1" spans="2:6">
      <c r="B166" s="200"/>
      <c r="C166" s="153"/>
      <c r="D166" s="153"/>
      <c r="E166" s="153"/>
      <c r="F166" s="138"/>
    </row>
    <row r="167" customHeight="1" spans="2:6">
      <c r="B167" s="200"/>
      <c r="C167" s="153"/>
      <c r="D167" s="153"/>
      <c r="E167" s="153"/>
      <c r="F167" s="138"/>
    </row>
    <row r="168" customHeight="1" spans="2:6">
      <c r="B168" s="200"/>
      <c r="C168" s="153"/>
      <c r="D168" s="153"/>
      <c r="E168" s="153"/>
      <c r="F168" s="138"/>
    </row>
  </sheetData>
  <mergeCells count="7">
    <mergeCell ref="A1:Y1"/>
    <mergeCell ref="T6:T7"/>
    <mergeCell ref="V6:V7"/>
    <mergeCell ref="X6:X7"/>
    <mergeCell ref="Y6:Y7"/>
    <mergeCell ref="A4:E6"/>
    <mergeCell ref="G4:Y5"/>
  </mergeCells>
  <conditionalFormatting sqref="G9:S11">
    <cfRule type="containsBlanks" dxfId="25" priority="2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headerFooter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9"/>
  <sheetViews>
    <sheetView zoomScale="70" zoomScaleNormal="70" workbookViewId="0">
      <selection activeCell="O22" sqref="O22"/>
    </sheetView>
  </sheetViews>
  <sheetFormatPr defaultColWidth="9.14285714285714" defaultRowHeight="25.5" customHeight="1"/>
  <cols>
    <col min="1" max="1" width="10.4285714285714" style="79" customWidth="1"/>
    <col min="2" max="2" width="42.5714285714286" style="79" customWidth="1"/>
    <col min="3" max="3" width="16.8571428571429" style="79" customWidth="1"/>
    <col min="4" max="4" width="14.5714285714286" style="79" customWidth="1"/>
    <col min="5" max="5" width="13.5714285714286" style="79" customWidth="1"/>
    <col min="6" max="6" width="21.4285714285714" style="79" customWidth="1"/>
    <col min="7" max="7" width="12.7142857142857" style="79" customWidth="1"/>
    <col min="8" max="8" width="13.2857142857143" style="79" customWidth="1"/>
    <col min="9" max="9" width="12.2857142857143" style="79" customWidth="1"/>
    <col min="10" max="18" width="12.5714285714286" style="79" customWidth="1"/>
    <col min="19" max="19" width="14.7142857142857" style="79" customWidth="1"/>
    <col min="20" max="20" width="15" style="79" customWidth="1"/>
    <col min="21" max="21" width="4" style="79" customWidth="1"/>
    <col min="22" max="22" width="15.1428571428571" style="79" customWidth="1"/>
    <col min="23" max="23" width="4" style="79" customWidth="1"/>
    <col min="24" max="25" width="15" style="79" customWidth="1"/>
    <col min="26" max="16384" width="9.14285714285714" style="79"/>
  </cols>
  <sheetData>
    <row r="1" ht="72.95" customHeight="1" spans="1: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159"/>
    </row>
    <row r="2" customHeight="1" spans="1:25">
      <c r="A2" s="84"/>
      <c r="B2" s="84"/>
      <c r="C2" s="84"/>
      <c r="D2" s="84"/>
      <c r="E2" s="84"/>
      <c r="F2" s="84"/>
      <c r="G2" s="86">
        <f>IF(COUNTA(FEMMINE[data1])=0,0,COUNTA(FEMMINE[data1]))</f>
        <v>0</v>
      </c>
      <c r="H2" s="86">
        <f>IF(COUNTA(FEMMINE[data2])=0,0,COUNTA(FEMMINE[data2]))</f>
        <v>0</v>
      </c>
      <c r="I2" s="86">
        <f>IF(COUNTA(FEMMINE[data3])=0,0,COUNTA(FEMMINE[data3]))</f>
        <v>0</v>
      </c>
      <c r="J2" s="86">
        <f>IF(COUNTA(FEMMINE[data4])=0,0,COUNTA(FEMMINE[data4]))</f>
        <v>0</v>
      </c>
      <c r="K2" s="86">
        <f>IF(COUNTA(FEMMINE[data5])=0,0,COUNTA(FEMMINE[data5]))</f>
        <v>0</v>
      </c>
      <c r="L2" s="86">
        <f>IF(COUNTA(FEMMINE[data6])=0,0,COUNTA(FEMMINE[data6]))</f>
        <v>0</v>
      </c>
      <c r="M2" s="86">
        <f>IF(COUNTA(FEMMINE[data7])=0,0,COUNTA(FEMMINE[data7]))</f>
        <v>0</v>
      </c>
      <c r="N2" s="86">
        <f>IF(COUNTA(FEMMINE[data8])=0,0,COUNTA(FEMMINE[data8]))</f>
        <v>0</v>
      </c>
      <c r="O2" s="86">
        <f>IF(COUNTA(FEMMINE[data9])=0,0,COUNTA(FEMMINE[data9]))</f>
        <v>0</v>
      </c>
      <c r="P2" s="86">
        <f>IF(COUNTA(FEMMINE[data10])=0,0,COUNTA(FEMMINE[data10]))</f>
        <v>0</v>
      </c>
      <c r="Q2" s="86">
        <f>IF(COUNTA(FEMMINE[data11])=0,0,COUNTA(FEMMINE[data11]))</f>
        <v>0</v>
      </c>
      <c r="R2" s="86">
        <f>IF(COUNTA(FEMMINE[data12])=0,0,COUNTA(FEMMINE[data12]))</f>
        <v>0</v>
      </c>
      <c r="S2" s="86">
        <f>IF(COUNTA(FEMMINE[data13])=0,0,COUNTA(FEMMINE[data13]))</f>
        <v>0</v>
      </c>
      <c r="T2" s="86"/>
      <c r="U2" s="86"/>
      <c r="V2" s="86">
        <f>IF(COUNTA(FEMMINE[data13])=0,0,COUNTA(FEMMINE[data13]))</f>
        <v>0</v>
      </c>
      <c r="W2" s="84"/>
      <c r="X2" s="84"/>
      <c r="Y2" s="84"/>
    </row>
    <row r="3" customHeight="1" spans="1:25">
      <c r="A3" s="84"/>
      <c r="B3" s="87"/>
      <c r="C3" s="87"/>
      <c r="D3" s="87"/>
      <c r="E3" s="87"/>
      <c r="F3" s="88"/>
      <c r="G3" s="86">
        <f>IF(G2=0,0,1)</f>
        <v>0</v>
      </c>
      <c r="H3" s="86">
        <f>IF(H2=0,0,1)</f>
        <v>0</v>
      </c>
      <c r="I3" s="86">
        <f t="shared" ref="I3:S3" si="0">IF(I2=0,0,1)</f>
        <v>0</v>
      </c>
      <c r="J3" s="86">
        <f t="shared" si="0"/>
        <v>0</v>
      </c>
      <c r="K3" s="86">
        <f t="shared" si="0"/>
        <v>0</v>
      </c>
      <c r="L3" s="86">
        <f t="shared" si="0"/>
        <v>0</v>
      </c>
      <c r="M3" s="86">
        <f t="shared" si="0"/>
        <v>0</v>
      </c>
      <c r="N3" s="86">
        <f t="shared" si="0"/>
        <v>0</v>
      </c>
      <c r="O3" s="86">
        <f t="shared" si="0"/>
        <v>0</v>
      </c>
      <c r="P3" s="86">
        <f t="shared" si="0"/>
        <v>0</v>
      </c>
      <c r="Q3" s="86">
        <f t="shared" si="0"/>
        <v>0</v>
      </c>
      <c r="R3" s="86">
        <f t="shared" si="0"/>
        <v>0</v>
      </c>
      <c r="S3" s="86">
        <f t="shared" si="0"/>
        <v>0</v>
      </c>
      <c r="T3" s="86">
        <f>SUM(G3:S3)+V3</f>
        <v>0</v>
      </c>
      <c r="U3" s="86"/>
      <c r="V3" s="86">
        <f t="shared" ref="V3" si="1">IF(V2=0,0,1)</f>
        <v>0</v>
      </c>
      <c r="W3" s="84"/>
      <c r="X3" s="84"/>
      <c r="Y3" s="84"/>
    </row>
    <row r="4" customHeight="1" spans="1:25">
      <c r="A4" s="89" t="s">
        <v>47</v>
      </c>
      <c r="B4" s="90"/>
      <c r="C4" s="90"/>
      <c r="D4" s="90"/>
      <c r="E4" s="91"/>
      <c r="F4" s="92"/>
      <c r="G4" s="93" t="s">
        <v>2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160"/>
    </row>
    <row r="5" customHeight="1" spans="1:25">
      <c r="A5" s="95"/>
      <c r="B5" s="96"/>
      <c r="C5" s="96"/>
      <c r="D5" s="96"/>
      <c r="E5" s="97"/>
      <c r="F5" s="98"/>
      <c r="G5" s="99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61"/>
    </row>
    <row r="6" customHeight="1" spans="1:31">
      <c r="A6" s="101"/>
      <c r="B6" s="102"/>
      <c r="C6" s="102"/>
      <c r="D6" s="102"/>
      <c r="E6" s="103"/>
      <c r="F6" s="84"/>
      <c r="G6" s="104" t="s">
        <v>3</v>
      </c>
      <c r="H6" s="104" t="s">
        <v>4</v>
      </c>
      <c r="I6" s="104" t="s">
        <v>5</v>
      </c>
      <c r="J6" s="104" t="s">
        <v>6</v>
      </c>
      <c r="K6" s="104" t="s">
        <v>7</v>
      </c>
      <c r="L6" s="104" t="s">
        <v>8</v>
      </c>
      <c r="M6" s="104" t="s">
        <v>9</v>
      </c>
      <c r="N6" s="104" t="s">
        <v>10</v>
      </c>
      <c r="O6" s="104" t="s">
        <v>11</v>
      </c>
      <c r="P6" s="104" t="s">
        <v>12</v>
      </c>
      <c r="Q6" s="104" t="s">
        <v>13</v>
      </c>
      <c r="R6" s="104" t="s">
        <v>14</v>
      </c>
      <c r="S6" s="303" t="s">
        <v>15</v>
      </c>
      <c r="T6" s="162"/>
      <c r="U6" s="163"/>
      <c r="V6" s="164" t="s">
        <v>16</v>
      </c>
      <c r="W6" s="163"/>
      <c r="X6" s="165" t="s">
        <v>17</v>
      </c>
      <c r="Y6" s="264" t="s">
        <v>18</v>
      </c>
      <c r="Z6" s="167"/>
      <c r="AA6" s="167"/>
      <c r="AB6" s="167"/>
      <c r="AC6" s="167"/>
      <c r="AD6" s="167"/>
      <c r="AE6" s="167"/>
    </row>
    <row r="7" s="78" customFormat="1" customHeight="1" spans="1:25">
      <c r="A7" s="84"/>
      <c r="B7" s="84"/>
      <c r="C7" s="84"/>
      <c r="D7" s="84"/>
      <c r="E7" s="84"/>
      <c r="F7" s="84"/>
      <c r="G7" s="157" t="s">
        <v>19</v>
      </c>
      <c r="H7" s="157" t="s">
        <v>19</v>
      </c>
      <c r="I7" s="157" t="s">
        <v>19</v>
      </c>
      <c r="J7" s="157" t="s">
        <v>19</v>
      </c>
      <c r="K7" s="157" t="s">
        <v>19</v>
      </c>
      <c r="L7" s="157" t="s">
        <v>19</v>
      </c>
      <c r="M7" s="157" t="s">
        <v>19</v>
      </c>
      <c r="N7" s="157" t="s">
        <v>19</v>
      </c>
      <c r="O7" s="157" t="s">
        <v>19</v>
      </c>
      <c r="P7" s="157" t="s">
        <v>19</v>
      </c>
      <c r="Q7" s="157" t="s">
        <v>19</v>
      </c>
      <c r="R7" s="157" t="s">
        <v>19</v>
      </c>
      <c r="S7" s="304" t="s">
        <v>19</v>
      </c>
      <c r="T7" s="168"/>
      <c r="U7" s="169"/>
      <c r="V7" s="170"/>
      <c r="W7" s="169"/>
      <c r="X7" s="165"/>
      <c r="Y7" s="264"/>
    </row>
    <row r="8" customHeight="1" spans="1:26">
      <c r="A8" s="287" t="s">
        <v>20</v>
      </c>
      <c r="B8" s="288" t="s">
        <v>21</v>
      </c>
      <c r="C8" s="289" t="s">
        <v>22</v>
      </c>
      <c r="D8" s="289" t="s">
        <v>23</v>
      </c>
      <c r="E8" s="290" t="s">
        <v>24</v>
      </c>
      <c r="F8" s="289" t="s">
        <v>25</v>
      </c>
      <c r="G8" s="323" t="s">
        <v>26</v>
      </c>
      <c r="H8" s="323" t="s">
        <v>27</v>
      </c>
      <c r="I8" s="323" t="s">
        <v>28</v>
      </c>
      <c r="J8" s="323" t="s">
        <v>29</v>
      </c>
      <c r="K8" s="323" t="s">
        <v>30</v>
      </c>
      <c r="L8" s="323" t="s">
        <v>31</v>
      </c>
      <c r="M8" s="323" t="s">
        <v>32</v>
      </c>
      <c r="N8" s="323" t="s">
        <v>33</v>
      </c>
      <c r="O8" s="323" t="s">
        <v>34</v>
      </c>
      <c r="P8" s="323" t="s">
        <v>35</v>
      </c>
      <c r="Q8" s="323" t="s">
        <v>36</v>
      </c>
      <c r="R8" s="323" t="s">
        <v>37</v>
      </c>
      <c r="S8" s="324" t="s">
        <v>38</v>
      </c>
      <c r="T8" s="54" t="s">
        <v>39</v>
      </c>
      <c r="U8" s="171" t="s">
        <v>40</v>
      </c>
      <c r="V8" s="322" t="s">
        <v>41</v>
      </c>
      <c r="W8" s="173" t="s">
        <v>42</v>
      </c>
      <c r="X8" s="174" t="s">
        <v>43</v>
      </c>
      <c r="Y8" s="306" t="s">
        <v>44</v>
      </c>
      <c r="Z8" s="81"/>
    </row>
    <row r="9" customHeight="1" spans="1:26">
      <c r="A9" s="292">
        <f t="shared" ref="A9:A11" si="2">IF(A8="Elenco",1,IF(B9="","",A8+1))</f>
        <v>1</v>
      </c>
      <c r="B9" s="293" t="s">
        <v>45</v>
      </c>
      <c r="C9" s="294">
        <v>2003</v>
      </c>
      <c r="D9" s="294" t="s">
        <v>48</v>
      </c>
      <c r="E9" s="113" t="str">
        <f t="shared" ref="E9:E11" si="3">IF(COUNTA(G9:S9)+COUNTA(V9:V9)=0,"",COUNTA(G9:S9)+COUNTA(V9:V9))</f>
        <v/>
      </c>
      <c r="F9" s="295" t="s">
        <v>49</v>
      </c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271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9" s="177" t="e">
        <f>AVERAGE(FEMMINE[[#This Row],[data1]:[data13]])</f>
        <v>#DIV/0!</v>
      </c>
      <c r="V9" s="178"/>
      <c r="W9" s="179"/>
      <c r="X9" s="180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9" s="273" t="str">
        <f t="shared" ref="Y9:Y11" si="4">IFERROR(IF(E9=0,"",X9/E9),"")</f>
        <v/>
      </c>
      <c r="Z9" s="81"/>
    </row>
    <row r="10" customHeight="1" spans="1:26">
      <c r="A10" s="292">
        <f t="shared" si="2"/>
        <v>2</v>
      </c>
      <c r="B10" s="293" t="s">
        <v>45</v>
      </c>
      <c r="C10" s="294"/>
      <c r="D10" s="294"/>
      <c r="E10" s="113" t="str">
        <f t="shared" si="3"/>
        <v/>
      </c>
      <c r="F10" s="295"/>
      <c r="G10" s="115"/>
      <c r="H10" s="115"/>
      <c r="I10" s="302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76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0" s="177" t="e">
        <f>AVERAGE(FEMMINE[[#This Row],[data1]:[data13]])</f>
        <v>#DIV/0!</v>
      </c>
      <c r="V10" s="178"/>
      <c r="W10" s="179"/>
      <c r="X10" s="180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0" s="273" t="str">
        <f t="shared" si="4"/>
        <v/>
      </c>
      <c r="Z10" s="81"/>
    </row>
    <row r="11" customHeight="1" spans="1:26">
      <c r="A11" s="296">
        <f t="shared" si="2"/>
        <v>3</v>
      </c>
      <c r="B11" s="297" t="s">
        <v>45</v>
      </c>
      <c r="C11" s="298"/>
      <c r="D11" s="298"/>
      <c r="E11" s="299" t="str">
        <f t="shared" si="3"/>
        <v/>
      </c>
      <c r="F11" s="300"/>
      <c r="G11" s="128"/>
      <c r="H11" s="301"/>
      <c r="I11" s="301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87" t="str">
        <f>IF(IF(FEMMINE[[#This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Row],[data1]]&lt;&gt;0,LOOKUP(FEMMINE[[#This Row],[data1]],Tabella4[1],Tabella4[100]),0)+IF(FEMMINE[[#This Row],[data2]]&lt;&gt;0,LOOKUP(FEMMINE[[#This Row],[data2]],Tabella4[1],Tabella4[100]),0)+IF(FEMMINE[[#This Row],[data3]]&lt;&gt;0,LOOKUP(FEMMINE[[#This Row],[data3]],Tabella4[1],Tabella4[100]),0)+IF(FEMMINE[[#This Row],[data4]]&lt;&gt;0,LOOKUP(FEMMINE[[#This Row],[data4]],Tabella4[1],Tabella4[100]),0)+IF(FEMMINE[[#This Row],[data5]]&lt;&gt;0,LOOKUP(FEMMINE[[#This Row],[data5]],Tabella4[1],Tabella4[100]),0)+IF(FEMMINE[[#This Row],[data6]]&lt;&gt;0,LOOKUP(FEMMINE[[#This Row],[data6]],Tabella4[1],Tabella4[100]),0)+IF(FEMMINE[[#This Row],[data7]]&lt;&gt;0,LOOKUP(FEMMINE[[#This Row],[data7]],Tabella4[1],Tabella4[100]),0)+IF(FEMMINE[[#This Row],[data8]]&lt;&gt;0,LOOKUP(FEMMINE[[#This Row],[data8]],Tabella4[1],Tabella4[100]),0)+IF(FEMMINE[[#This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/>
      </c>
      <c r="U11" s="188" t="e">
        <f>AVERAGE(FEMMINE[[#This Row],[data1]:[data13]])</f>
        <v>#DIV/0!</v>
      </c>
      <c r="V11" s="189"/>
      <c r="W11" s="190"/>
      <c r="X11" s="191" t="str">
        <f>IFERROR(IF(FEMMINE[[#This Row],[TOTALE]]+(IF(FEMMINE[[#This Row],[ DATA    ]]="",0,LOOKUP(FEMMINE[[#This Row],[ DATA    ]],Tabella4[1],Tabella4[100])))=0,"",(FEMMINE[[#This Row],[TOTALE]]+(IF(FEMMINE[[#This Row],[ DATA    ]]="",0,(LOOKUP(FEMMINE[[#This Row],[ DATA    ]],Tabella4[1],Tabella4[100])*1.5))))),"")</f>
        <v/>
      </c>
      <c r="Y11" s="192" t="str">
        <f t="shared" si="4"/>
        <v/>
      </c>
      <c r="Z11" s="81"/>
    </row>
    <row r="12" customHeight="1" spans="26:26">
      <c r="Z12" s="81"/>
    </row>
    <row r="19" customHeight="1" spans="1:6">
      <c r="A19" s="136"/>
      <c r="B19" s="137"/>
      <c r="F19" s="138"/>
    </row>
    <row r="20" customHeight="1" spans="1:6">
      <c r="A20" s="136"/>
      <c r="B20" s="137"/>
      <c r="F20" s="138"/>
    </row>
    <row r="21" customHeight="1" spans="1:2">
      <c r="A21" s="136"/>
      <c r="B21" s="137"/>
    </row>
    <row r="22" customHeight="1" spans="1:2">
      <c r="A22" s="136"/>
      <c r="B22" s="137"/>
    </row>
    <row r="23" customHeight="1" spans="1:2">
      <c r="A23" s="136"/>
      <c r="B23" s="137"/>
    </row>
    <row r="24" customHeight="1" spans="1:2">
      <c r="A24" s="136"/>
      <c r="B24" s="137"/>
    </row>
    <row r="25" customHeight="1" spans="1:2">
      <c r="A25" s="136"/>
      <c r="B25" s="137"/>
    </row>
    <row r="26" customHeight="1" spans="1:2">
      <c r="A26" s="136"/>
      <c r="B26" s="137"/>
    </row>
    <row r="27" customHeight="1" spans="1:2">
      <c r="A27" s="136"/>
      <c r="B27" s="137"/>
    </row>
    <row r="28" customHeight="1" spans="1:2">
      <c r="A28" s="136"/>
      <c r="B28" s="137"/>
    </row>
    <row r="29" customHeight="1" spans="1:2">
      <c r="A29" s="136"/>
      <c r="B29" s="137"/>
    </row>
    <row r="30" customHeight="1" spans="1:2">
      <c r="A30" s="136"/>
      <c r="B30" s="137"/>
    </row>
    <row r="31" customHeight="1" spans="1:2">
      <c r="A31" s="136"/>
      <c r="B31" s="137"/>
    </row>
    <row r="32" customHeight="1" spans="1:2">
      <c r="A32" s="136"/>
      <c r="B32" s="137"/>
    </row>
    <row r="33" customHeight="1" spans="1:2">
      <c r="A33" s="136"/>
      <c r="B33" s="137"/>
    </row>
    <row r="34" customHeight="1" spans="1:2">
      <c r="A34" s="136"/>
      <c r="B34" s="137"/>
    </row>
    <row r="35" customHeight="1" spans="1:2">
      <c r="A35" s="136"/>
      <c r="B35" s="137"/>
    </row>
    <row r="36" customHeight="1" spans="1:2">
      <c r="A36" s="136"/>
      <c r="B36" s="137"/>
    </row>
    <row r="37" customHeight="1" spans="1:2">
      <c r="A37" s="136"/>
      <c r="B37" s="137"/>
    </row>
    <row r="38" customHeight="1" spans="1:2">
      <c r="A38" s="136"/>
      <c r="B38" s="137"/>
    </row>
    <row r="39" customHeight="1" spans="1:2">
      <c r="A39" s="136"/>
      <c r="B39" s="137"/>
    </row>
    <row r="40" customHeight="1" spans="1:2">
      <c r="A40" s="136"/>
      <c r="B40" s="137"/>
    </row>
    <row r="41" customHeight="1" spans="1:2">
      <c r="A41" s="136"/>
      <c r="B41" s="137"/>
    </row>
    <row r="42" customHeight="1" spans="1:2">
      <c r="A42" s="136"/>
      <c r="B42" s="137"/>
    </row>
    <row r="43" customHeight="1" spans="1:2">
      <c r="A43" s="136"/>
      <c r="B43" s="137"/>
    </row>
    <row r="44" customHeight="1" spans="1:6">
      <c r="A44" s="136"/>
      <c r="B44" s="137"/>
      <c r="F44" s="138"/>
    </row>
    <row r="45" customHeight="1" spans="1:6">
      <c r="A45" s="136"/>
      <c r="B45" s="137"/>
      <c r="F45" s="138"/>
    </row>
    <row r="46" customHeight="1" spans="1:6">
      <c r="A46" s="136"/>
      <c r="B46" s="137"/>
      <c r="F46" s="138"/>
    </row>
    <row r="47" customHeight="1" spans="1:6">
      <c r="A47" s="136"/>
      <c r="B47" s="137"/>
      <c r="F47" s="138"/>
    </row>
    <row r="48" customHeight="1" spans="1:6">
      <c r="A48" s="136"/>
      <c r="B48" s="137"/>
      <c r="F48" s="138"/>
    </row>
    <row r="49" customHeight="1" spans="1:6">
      <c r="A49" s="136"/>
      <c r="B49" s="137"/>
      <c r="F49" s="138"/>
    </row>
    <row r="50" customHeight="1" spans="1:6">
      <c r="A50" s="136"/>
      <c r="B50" s="137"/>
      <c r="F50" s="138"/>
    </row>
    <row r="51" customHeight="1" spans="1:6">
      <c r="A51" s="136"/>
      <c r="B51" s="137"/>
      <c r="F51" s="138"/>
    </row>
    <row r="52" customHeight="1" spans="1:6">
      <c r="A52" s="136"/>
      <c r="B52" s="137"/>
      <c r="F52" s="138"/>
    </row>
    <row r="53" customHeight="1" spans="1:6">
      <c r="A53" s="136"/>
      <c r="B53" s="137"/>
      <c r="F53" s="138"/>
    </row>
    <row r="54" customHeight="1" spans="1:6">
      <c r="A54" s="136"/>
      <c r="B54" s="137"/>
      <c r="F54" s="138"/>
    </row>
    <row r="55" customHeight="1" spans="1:6">
      <c r="A55" s="136"/>
      <c r="B55" s="137"/>
      <c r="F55" s="138"/>
    </row>
    <row r="56" customHeight="1" spans="1:6">
      <c r="A56" s="136"/>
      <c r="B56" s="137"/>
      <c r="F56" s="138"/>
    </row>
    <row r="57" customHeight="1" spans="1:6">
      <c r="A57" s="136"/>
      <c r="B57" s="137"/>
      <c r="F57" s="138"/>
    </row>
    <row r="58" customHeight="1" spans="1:6">
      <c r="A58" s="136"/>
      <c r="B58" s="137"/>
      <c r="F58" s="138"/>
    </row>
    <row r="59" customHeight="1" spans="1:6">
      <c r="A59" s="136"/>
      <c r="B59" s="137"/>
      <c r="F59" s="138"/>
    </row>
    <row r="60" customHeight="1" spans="1:6">
      <c r="A60" s="136"/>
      <c r="B60" s="137"/>
      <c r="F60" s="138"/>
    </row>
    <row r="61" customHeight="1" spans="1:6">
      <c r="A61" s="136"/>
      <c r="B61" s="137"/>
      <c r="F61" s="138"/>
    </row>
    <row r="62" customHeight="1" spans="1:6">
      <c r="A62" s="136"/>
      <c r="B62" s="137"/>
      <c r="F62" s="138"/>
    </row>
    <row r="63" customHeight="1" spans="1:6">
      <c r="A63" s="136"/>
      <c r="B63" s="137"/>
      <c r="F63" s="138"/>
    </row>
    <row r="64" customHeight="1" spans="1:6">
      <c r="A64" s="136"/>
      <c r="B64" s="137"/>
      <c r="F64" s="138"/>
    </row>
    <row r="65" customHeight="1" spans="1:6">
      <c r="A65" s="136"/>
      <c r="B65" s="137"/>
      <c r="F65" s="138"/>
    </row>
    <row r="66" customHeight="1" spans="1:6">
      <c r="A66" s="136"/>
      <c r="B66" s="137"/>
      <c r="F66" s="138"/>
    </row>
    <row r="67" customHeight="1" spans="1:6">
      <c r="A67" s="136"/>
      <c r="B67" s="137"/>
      <c r="F67" s="138"/>
    </row>
    <row r="68" customHeight="1" spans="1:6">
      <c r="A68" s="136"/>
      <c r="B68" s="137"/>
      <c r="F68" s="138"/>
    </row>
    <row r="69" customHeight="1" spans="1:6">
      <c r="A69" s="136"/>
      <c r="B69" s="137"/>
      <c r="F69" s="138"/>
    </row>
    <row r="70" customHeight="1" spans="1:6">
      <c r="A70" s="136"/>
      <c r="B70" s="137"/>
      <c r="F70" s="138"/>
    </row>
    <row r="71" customHeight="1" spans="1:6">
      <c r="A71" s="136"/>
      <c r="B71" s="137"/>
      <c r="F71" s="138"/>
    </row>
    <row r="72" customHeight="1" spans="1:6">
      <c r="A72" s="136"/>
      <c r="B72" s="137"/>
      <c r="F72" s="138"/>
    </row>
    <row r="73" customHeight="1" spans="1:6">
      <c r="A73" s="136"/>
      <c r="B73" s="137"/>
      <c r="F73" s="138"/>
    </row>
    <row r="74" customHeight="1" spans="1:6">
      <c r="A74" s="136"/>
      <c r="B74" s="137"/>
      <c r="F74" s="138"/>
    </row>
    <row r="75" customHeight="1" spans="1:6">
      <c r="A75" s="136"/>
      <c r="B75" s="137"/>
      <c r="F75" s="138"/>
    </row>
    <row r="76" customHeight="1" spans="1:6">
      <c r="A76" s="136"/>
      <c r="B76" s="137"/>
      <c r="F76" s="138"/>
    </row>
    <row r="77" customHeight="1" spans="1:6">
      <c r="A77" s="136"/>
      <c r="B77" s="137"/>
      <c r="F77" s="138"/>
    </row>
    <row r="78" customHeight="1" spans="1:6">
      <c r="A78" s="136"/>
      <c r="B78" s="137"/>
      <c r="F78" s="138"/>
    </row>
    <row r="79" customHeight="1" spans="1:6">
      <c r="A79" s="136"/>
      <c r="B79" s="137"/>
      <c r="F79" s="138"/>
    </row>
    <row r="80" customHeight="1" spans="1:6">
      <c r="A80" s="136"/>
      <c r="B80" s="137"/>
      <c r="F80" s="138"/>
    </row>
    <row r="81" customHeight="1" spans="1:6">
      <c r="A81" s="136"/>
      <c r="B81" s="137"/>
      <c r="F81" s="138"/>
    </row>
    <row r="82" customHeight="1" spans="1:6">
      <c r="A82" s="136"/>
      <c r="B82" s="137"/>
      <c r="F82" s="138"/>
    </row>
    <row r="83" customHeight="1" spans="1:6">
      <c r="A83" s="136"/>
      <c r="B83" s="137"/>
      <c r="F83" s="138"/>
    </row>
    <row r="84" customHeight="1" spans="1:6">
      <c r="A84" s="136"/>
      <c r="B84" s="137"/>
      <c r="F84" s="138"/>
    </row>
    <row r="85" customHeight="1" spans="1:6">
      <c r="A85" s="136"/>
      <c r="B85" s="137"/>
      <c r="F85" s="138"/>
    </row>
    <row r="86" customHeight="1" spans="1:6">
      <c r="A86" s="136"/>
      <c r="B86" s="137"/>
      <c r="F86" s="138"/>
    </row>
    <row r="87" customHeight="1" spans="1:6">
      <c r="A87" s="136"/>
      <c r="B87" s="137"/>
      <c r="F87" s="138"/>
    </row>
    <row r="88" customHeight="1" spans="1:6">
      <c r="A88" s="136"/>
      <c r="B88" s="137"/>
      <c r="F88" s="138"/>
    </row>
    <row r="89" customHeight="1" spans="1:20">
      <c r="A89" s="136"/>
      <c r="F89" s="139"/>
      <c r="G89" s="32"/>
      <c r="H89" s="32"/>
      <c r="I89" s="32"/>
      <c r="J89" s="32"/>
      <c r="K89" s="156"/>
      <c r="L89" s="156"/>
      <c r="M89" s="156"/>
      <c r="N89" s="156"/>
      <c r="O89" s="156"/>
      <c r="P89" s="156"/>
      <c r="Q89" s="156"/>
      <c r="R89" s="156"/>
      <c r="S89" s="32"/>
      <c r="T89" s="199"/>
    </row>
    <row r="90" customHeight="1" spans="1:22">
      <c r="A90" s="136"/>
      <c r="F90" s="139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V90" s="140"/>
    </row>
    <row r="91" customHeight="1" spans="1:22">
      <c r="A91" s="136"/>
      <c r="F91" s="139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V91" s="140"/>
    </row>
    <row r="92" customHeight="1" spans="1:22">
      <c r="A92" s="136"/>
      <c r="F92" s="139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99"/>
      <c r="V92" s="156"/>
    </row>
    <row r="93" customHeight="1" spans="1:22">
      <c r="A93" s="136"/>
      <c r="V93" s="32"/>
    </row>
    <row r="94" customHeight="1" spans="1:1">
      <c r="A94" s="136"/>
    </row>
    <row r="95" customHeight="1" spans="1:6">
      <c r="A95" s="136"/>
      <c r="B95" s="141"/>
      <c r="C95" s="143"/>
      <c r="D95" s="143"/>
      <c r="E95" s="142"/>
      <c r="F95" s="143"/>
    </row>
    <row r="96" customHeight="1" spans="1:6">
      <c r="A96" s="136"/>
      <c r="B96" s="144"/>
      <c r="C96" s="145"/>
      <c r="D96" s="145"/>
      <c r="E96" s="146"/>
      <c r="F96" s="147"/>
    </row>
    <row r="97" customHeight="1" spans="1:6">
      <c r="A97" s="136"/>
      <c r="B97" s="154"/>
      <c r="C97" s="149"/>
      <c r="D97" s="149"/>
      <c r="E97" s="150"/>
      <c r="F97" s="151"/>
    </row>
    <row r="98" customHeight="1" spans="1:1">
      <c r="A98" s="136"/>
    </row>
    <row r="99" customHeight="1" spans="1:1">
      <c r="A99" s="136"/>
    </row>
    <row r="100" customHeight="1" spans="1:1">
      <c r="A100" s="136"/>
    </row>
    <row r="101" customHeight="1" spans="1:1">
      <c r="A101" s="136"/>
    </row>
    <row r="102" customHeight="1" spans="1:6">
      <c r="A102" s="152"/>
      <c r="B102" s="154"/>
      <c r="E102" s="153"/>
      <c r="F102" s="154"/>
    </row>
    <row r="103" customHeight="1" spans="1:6">
      <c r="A103" s="152"/>
      <c r="B103" s="154"/>
      <c r="E103" s="153"/>
      <c r="F103" s="154"/>
    </row>
    <row r="104" customHeight="1" spans="1:6">
      <c r="A104" s="152"/>
      <c r="B104" s="154"/>
      <c r="E104" s="153"/>
      <c r="F104" s="154"/>
    </row>
    <row r="105" customHeight="1" spans="1:6">
      <c r="A105" s="152"/>
      <c r="B105" s="154"/>
      <c r="E105" s="153"/>
      <c r="F105" s="154"/>
    </row>
    <row r="106" customHeight="1" spans="1:6">
      <c r="A106" s="152"/>
      <c r="B106" s="154"/>
      <c r="E106" s="153"/>
      <c r="F106" s="154"/>
    </row>
    <row r="107" customHeight="1" spans="1:6">
      <c r="A107" s="152"/>
      <c r="B107" s="154"/>
      <c r="E107" s="153"/>
      <c r="F107" s="154"/>
    </row>
    <row r="108" customHeight="1" spans="1:6">
      <c r="A108" s="152"/>
      <c r="B108" s="154"/>
      <c r="E108" s="153"/>
      <c r="F108" s="154"/>
    </row>
    <row r="109" customHeight="1" spans="1:6">
      <c r="A109" s="152"/>
      <c r="B109" s="154"/>
      <c r="E109" s="153"/>
      <c r="F109" s="154"/>
    </row>
    <row r="110" customHeight="1" spans="1:6">
      <c r="A110" s="152"/>
      <c r="B110" s="154"/>
      <c r="E110" s="153"/>
      <c r="F110" s="154"/>
    </row>
    <row r="111" customHeight="1" spans="1:6">
      <c r="A111" s="152"/>
      <c r="B111" s="154"/>
      <c r="E111" s="153"/>
      <c r="F111" s="154"/>
    </row>
    <row r="112" customHeight="1" spans="1:6">
      <c r="A112" s="152"/>
      <c r="B112" s="154"/>
      <c r="E112" s="153"/>
      <c r="F112" s="154"/>
    </row>
    <row r="113" customHeight="1" spans="1:6">
      <c r="A113" s="152"/>
      <c r="B113" s="154"/>
      <c r="E113" s="153"/>
      <c r="F113" s="154"/>
    </row>
    <row r="114" customHeight="1" spans="1:6">
      <c r="A114" s="152"/>
      <c r="B114" s="154"/>
      <c r="E114" s="153"/>
      <c r="F114" s="154"/>
    </row>
    <row r="115" customHeight="1" spans="1:6">
      <c r="A115" s="152"/>
      <c r="B115" s="154"/>
      <c r="E115" s="153"/>
      <c r="F115" s="154"/>
    </row>
    <row r="116" customHeight="1" spans="1:6">
      <c r="A116" s="152"/>
      <c r="B116" s="154"/>
      <c r="E116" s="153"/>
      <c r="F116" s="154"/>
    </row>
    <row r="117" customHeight="1" spans="1:6">
      <c r="A117" s="152"/>
      <c r="B117" s="154"/>
      <c r="E117" s="153"/>
      <c r="F117" s="154"/>
    </row>
    <row r="118" customHeight="1" spans="1:6">
      <c r="A118" s="152"/>
      <c r="B118" s="154"/>
      <c r="E118" s="153"/>
      <c r="F118" s="154"/>
    </row>
    <row r="119" customHeight="1" spans="1:6">
      <c r="A119" s="152"/>
      <c r="B119" s="154"/>
      <c r="E119" s="153"/>
      <c r="F119" s="154"/>
    </row>
    <row r="120" customHeight="1" spans="1:6">
      <c r="A120" s="152"/>
      <c r="B120" s="154"/>
      <c r="E120" s="153"/>
      <c r="F120" s="154"/>
    </row>
    <row r="121" customHeight="1" spans="1:6">
      <c r="A121" s="152"/>
      <c r="B121" s="154"/>
      <c r="E121" s="153"/>
      <c r="F121" s="154"/>
    </row>
    <row r="122" customHeight="1" spans="1:6">
      <c r="A122" s="152"/>
      <c r="B122" s="154"/>
      <c r="E122" s="153"/>
      <c r="F122" s="154"/>
    </row>
    <row r="123" customHeight="1" spans="1:6">
      <c r="A123" s="152"/>
      <c r="B123" s="154"/>
      <c r="E123" s="153"/>
      <c r="F123" s="154"/>
    </row>
    <row r="124" customHeight="1" spans="1:6">
      <c r="A124" s="152"/>
      <c r="B124" s="154"/>
      <c r="E124" s="153"/>
      <c r="F124" s="154"/>
    </row>
    <row r="125" customHeight="1" spans="1:6">
      <c r="A125" s="152"/>
      <c r="B125" s="154"/>
      <c r="E125" s="153"/>
      <c r="F125" s="154"/>
    </row>
    <row r="126" customHeight="1" spans="1:6">
      <c r="A126" s="152"/>
      <c r="B126" s="154"/>
      <c r="E126" s="153"/>
      <c r="F126" s="154"/>
    </row>
    <row r="127" customHeight="1" spans="1:6">
      <c r="A127" s="152"/>
      <c r="B127" s="154"/>
      <c r="E127" s="153"/>
      <c r="F127" s="154"/>
    </row>
    <row r="128" customHeight="1" spans="1:6">
      <c r="A128" s="152"/>
      <c r="B128" s="154"/>
      <c r="E128" s="153"/>
      <c r="F128" s="154"/>
    </row>
    <row r="129" customHeight="1" spans="1:6">
      <c r="A129" s="152"/>
      <c r="B129" s="154"/>
      <c r="E129" s="153"/>
      <c r="F129" s="154"/>
    </row>
    <row r="130" customHeight="1" spans="1:6">
      <c r="A130" s="152"/>
      <c r="B130" s="154"/>
      <c r="E130" s="153"/>
      <c r="F130" s="154"/>
    </row>
    <row r="131" customHeight="1" spans="1:6">
      <c r="A131" s="152"/>
      <c r="B131" s="154"/>
      <c r="E131" s="153"/>
      <c r="F131" s="154"/>
    </row>
    <row r="132" customHeight="1" spans="1:6">
      <c r="A132" s="152"/>
      <c r="B132" s="154"/>
      <c r="E132" s="153"/>
      <c r="F132" s="154"/>
    </row>
    <row r="133" customHeight="1" spans="1:6">
      <c r="A133" s="152"/>
      <c r="B133" s="154"/>
      <c r="E133" s="153"/>
      <c r="F133" s="154"/>
    </row>
    <row r="134" customHeight="1" spans="1:6">
      <c r="A134" s="152"/>
      <c r="B134" s="154"/>
      <c r="E134" s="153"/>
      <c r="F134" s="154"/>
    </row>
    <row r="135" customHeight="1" spans="1:6">
      <c r="A135" s="152"/>
      <c r="B135" s="154"/>
      <c r="E135" s="153"/>
      <c r="F135" s="154"/>
    </row>
    <row r="136" customHeight="1" spans="1:6">
      <c r="A136" s="152"/>
      <c r="B136" s="154"/>
      <c r="E136" s="153"/>
      <c r="F136" s="154"/>
    </row>
    <row r="137" customHeight="1" spans="1:6">
      <c r="A137" s="152"/>
      <c r="B137" s="154"/>
      <c r="E137" s="153"/>
      <c r="F137" s="154"/>
    </row>
    <row r="138" customHeight="1" spans="1:6">
      <c r="A138" s="152"/>
      <c r="B138" s="154"/>
      <c r="E138" s="153"/>
      <c r="F138" s="154"/>
    </row>
    <row r="139" customHeight="1" spans="1:6">
      <c r="A139" s="152"/>
      <c r="B139" s="154"/>
      <c r="E139" s="153"/>
      <c r="F139" s="154"/>
    </row>
    <row r="140" customHeight="1" spans="1:6">
      <c r="A140" s="152"/>
      <c r="B140" s="154"/>
      <c r="E140" s="153"/>
      <c r="F140" s="154"/>
    </row>
    <row r="141" customHeight="1" spans="1:6">
      <c r="A141" s="152"/>
      <c r="B141" s="154"/>
      <c r="E141" s="153"/>
      <c r="F141" s="154"/>
    </row>
    <row r="142" customHeight="1" spans="1:6">
      <c r="A142" s="152"/>
      <c r="B142" s="154"/>
      <c r="E142" s="153"/>
      <c r="F142" s="154"/>
    </row>
    <row r="143" customHeight="1" spans="1:6">
      <c r="A143" s="152"/>
      <c r="B143" s="154"/>
      <c r="E143" s="153"/>
      <c r="F143" s="154"/>
    </row>
    <row r="144" customHeight="1" spans="1:6">
      <c r="A144" s="152"/>
      <c r="B144" s="154"/>
      <c r="E144" s="153"/>
      <c r="F144" s="154"/>
    </row>
    <row r="145" customHeight="1" spans="1:6">
      <c r="A145" s="152"/>
      <c r="B145" s="154"/>
      <c r="E145" s="153"/>
      <c r="F145" s="154"/>
    </row>
    <row r="146" customHeight="1" spans="1:6">
      <c r="A146" s="152"/>
      <c r="B146" s="154"/>
      <c r="E146" s="153"/>
      <c r="F146" s="154"/>
    </row>
    <row r="147" customHeight="1" spans="1:6">
      <c r="A147" s="152"/>
      <c r="B147" s="154"/>
      <c r="E147" s="153"/>
      <c r="F147" s="154"/>
    </row>
    <row r="148" customHeight="1" spans="1:6">
      <c r="A148" s="152"/>
      <c r="B148" s="154"/>
      <c r="E148" s="153"/>
      <c r="F148" s="154"/>
    </row>
    <row r="149" customHeight="1" spans="1:6">
      <c r="A149" s="152"/>
      <c r="B149" s="154"/>
      <c r="E149" s="153"/>
      <c r="F149" s="154"/>
    </row>
    <row r="150" customHeight="1" spans="1:6">
      <c r="A150" s="152"/>
      <c r="B150" s="154"/>
      <c r="E150" s="153"/>
      <c r="F150" s="154"/>
    </row>
    <row r="151" customHeight="1" spans="1:6">
      <c r="A151" s="152"/>
      <c r="B151" s="154"/>
      <c r="E151" s="153"/>
      <c r="F151" s="154"/>
    </row>
    <row r="152" customHeight="1" spans="1:6">
      <c r="A152" s="152"/>
      <c r="B152" s="154"/>
      <c r="E152" s="153"/>
      <c r="F152" s="154"/>
    </row>
    <row r="153" customHeight="1" spans="1:6">
      <c r="A153" s="152"/>
      <c r="B153" s="154"/>
      <c r="E153" s="153"/>
      <c r="F153" s="154"/>
    </row>
    <row r="154" customHeight="1" spans="1:6">
      <c r="A154" s="152"/>
      <c r="B154" s="154"/>
      <c r="E154" s="153"/>
      <c r="F154" s="154"/>
    </row>
    <row r="155" customHeight="1" spans="1:6">
      <c r="A155" s="152"/>
      <c r="B155" s="154"/>
      <c r="E155" s="153"/>
      <c r="F155" s="154"/>
    </row>
    <row r="156" customHeight="1" spans="1:6">
      <c r="A156" s="152"/>
      <c r="B156" s="154"/>
      <c r="E156" s="153"/>
      <c r="F156" s="154"/>
    </row>
    <row r="157" customHeight="1" spans="1:6">
      <c r="A157" s="152"/>
      <c r="B157" s="154"/>
      <c r="E157" s="153"/>
      <c r="F157" s="154"/>
    </row>
    <row r="158" customHeight="1" spans="1:6">
      <c r="A158" s="152"/>
      <c r="B158" s="154"/>
      <c r="E158" s="153"/>
      <c r="F158" s="154"/>
    </row>
    <row r="159" customHeight="1" spans="2:6">
      <c r="B159" s="200"/>
      <c r="C159" s="153"/>
      <c r="D159" s="153"/>
      <c r="E159" s="153"/>
      <c r="F159" s="138"/>
    </row>
    <row r="160" customHeight="1" spans="2:6">
      <c r="B160" s="200"/>
      <c r="C160" s="153"/>
      <c r="D160" s="153"/>
      <c r="E160" s="153"/>
      <c r="F160" s="138"/>
    </row>
    <row r="161" customHeight="1" spans="2:6">
      <c r="B161" s="201"/>
      <c r="C161" s="153"/>
      <c r="D161" s="153"/>
      <c r="E161" s="153"/>
      <c r="F161" s="138"/>
    </row>
    <row r="162" customHeight="1" spans="2:6">
      <c r="B162" s="200"/>
      <c r="C162" s="153"/>
      <c r="D162" s="153"/>
      <c r="E162" s="153"/>
      <c r="F162" s="138"/>
    </row>
    <row r="163" customHeight="1" spans="2:6">
      <c r="B163" s="200"/>
      <c r="C163" s="153"/>
      <c r="D163" s="153"/>
      <c r="E163" s="153"/>
      <c r="F163" s="138"/>
    </row>
    <row r="164" customHeight="1" spans="2:6">
      <c r="B164" s="201"/>
      <c r="C164" s="153"/>
      <c r="D164" s="153"/>
      <c r="E164" s="153"/>
      <c r="F164" s="138"/>
    </row>
    <row r="165" customHeight="1" spans="2:6">
      <c r="B165" s="200"/>
      <c r="C165" s="153"/>
      <c r="D165" s="153"/>
      <c r="E165" s="153"/>
      <c r="F165" s="138"/>
    </row>
    <row r="166" customHeight="1" spans="2:6">
      <c r="B166" s="200"/>
      <c r="C166" s="153"/>
      <c r="D166" s="153"/>
      <c r="E166" s="153"/>
      <c r="F166" s="138"/>
    </row>
    <row r="167" customHeight="1" spans="2:6">
      <c r="B167" s="200"/>
      <c r="C167" s="153"/>
      <c r="D167" s="153"/>
      <c r="E167" s="153"/>
      <c r="F167" s="138"/>
    </row>
    <row r="168" customHeight="1" spans="2:6">
      <c r="B168" s="200"/>
      <c r="C168" s="153"/>
      <c r="D168" s="153"/>
      <c r="E168" s="153"/>
      <c r="F168" s="138"/>
    </row>
    <row r="169" customHeight="1" spans="2:6">
      <c r="B169" s="200"/>
      <c r="C169" s="153"/>
      <c r="D169" s="153"/>
      <c r="E169" s="153"/>
      <c r="F169" s="138"/>
    </row>
  </sheetData>
  <mergeCells count="8">
    <mergeCell ref="A1:Y1"/>
    <mergeCell ref="B3:E3"/>
    <mergeCell ref="T6:T7"/>
    <mergeCell ref="V6:V7"/>
    <mergeCell ref="X6:X7"/>
    <mergeCell ref="Y6:Y7"/>
    <mergeCell ref="A4:E6"/>
    <mergeCell ref="G4:Y5"/>
  </mergeCells>
  <conditionalFormatting sqref="G9:S11">
    <cfRule type="containsBlanks" dxfId="25" priority="1">
      <formula>LEN(TRIM(G9))=0</formula>
    </cfRule>
  </conditionalFormatting>
  <dataValidations count="1">
    <dataValidation type="list" allowBlank="1" showInputMessage="1" showErrorMessage="1" sqref="D9:D11">
      <formula1>CATEGORIA</formula1>
    </dataValidation>
  </dataValidations>
  <pageMargins left="0.7" right="0.7" top="0.75" bottom="0.75" header="0.3" footer="0.3"/>
  <headerFooter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4"/>
  <sheetViews>
    <sheetView zoomScale="110" zoomScaleNormal="110" workbookViewId="0">
      <selection activeCell="G6" sqref="G6"/>
    </sheetView>
  </sheetViews>
  <sheetFormatPr defaultColWidth="9.14285714285714" defaultRowHeight="15"/>
  <cols>
    <col min="1" max="16384" width="9.14285714285714" style="278"/>
  </cols>
  <sheetData>
    <row r="1" spans="6:6">
      <c r="F1" s="278" t="s">
        <v>50</v>
      </c>
    </row>
    <row r="2" ht="15.75" spans="2:7">
      <c r="B2" s="278" t="s">
        <v>51</v>
      </c>
      <c r="F2" s="279" t="s">
        <v>52</v>
      </c>
      <c r="G2" s="280" t="s">
        <v>53</v>
      </c>
    </row>
    <row r="3" ht="15.75" spans="3:11">
      <c r="C3" s="278" t="str">
        <f>""</f>
        <v/>
      </c>
      <c r="F3" s="279" t="e">
        <v>#N/A</v>
      </c>
      <c r="G3" s="280">
        <v>0</v>
      </c>
      <c r="I3" s="278">
        <v>1</v>
      </c>
      <c r="K3" s="278">
        <f>LOOKUP(I3,Tabella4[1],Tabella4[100])+LOOKUP(I4,Tabella4[1],Tabella4[100])</f>
        <v>195</v>
      </c>
    </row>
    <row r="4" ht="15.75" spans="3:9">
      <c r="C4" s="278" t="s">
        <v>48</v>
      </c>
      <c r="F4" s="279">
        <v>1</v>
      </c>
      <c r="G4" s="280">
        <v>115</v>
      </c>
      <c r="I4" s="278">
        <v>4</v>
      </c>
    </row>
    <row r="5" ht="15.75" spans="3:7">
      <c r="C5" s="278" t="s">
        <v>54</v>
      </c>
      <c r="F5" s="281">
        <v>2</v>
      </c>
      <c r="G5" s="282">
        <v>95</v>
      </c>
    </row>
    <row r="6" ht="15.75" spans="3:7">
      <c r="C6" s="278" t="s">
        <v>55</v>
      </c>
      <c r="F6" s="283">
        <v>3</v>
      </c>
      <c r="G6" s="284">
        <v>85</v>
      </c>
    </row>
    <row r="7" ht="15.75" spans="6:7">
      <c r="F7" s="281">
        <v>4</v>
      </c>
      <c r="G7" s="282">
        <v>80</v>
      </c>
    </row>
    <row r="8" ht="15.75" spans="6:7">
      <c r="F8" s="283">
        <v>5</v>
      </c>
      <c r="G8" s="284">
        <v>75</v>
      </c>
    </row>
    <row r="9" ht="15.75" spans="6:7">
      <c r="F9" s="281">
        <v>6</v>
      </c>
      <c r="G9" s="282">
        <v>70</v>
      </c>
    </row>
    <row r="10" ht="15.75" spans="6:7">
      <c r="F10" s="283">
        <v>7</v>
      </c>
      <c r="G10" s="284">
        <v>67</v>
      </c>
    </row>
    <row r="11" ht="15.75" spans="6:7">
      <c r="F11" s="281">
        <v>8</v>
      </c>
      <c r="G11" s="282">
        <v>64</v>
      </c>
    </row>
    <row r="12" ht="15.75" spans="6:7">
      <c r="F12" s="283">
        <v>9</v>
      </c>
      <c r="G12" s="284">
        <v>61</v>
      </c>
    </row>
    <row r="13" ht="15.75" spans="6:7">
      <c r="F13" s="281">
        <v>10</v>
      </c>
      <c r="G13" s="282">
        <v>58</v>
      </c>
    </row>
    <row r="14" ht="15.75" spans="6:7">
      <c r="F14" s="283">
        <v>11</v>
      </c>
      <c r="G14" s="284">
        <v>55</v>
      </c>
    </row>
    <row r="15" ht="15.75" spans="6:7">
      <c r="F15" s="281">
        <v>12</v>
      </c>
      <c r="G15" s="282">
        <v>52</v>
      </c>
    </row>
    <row r="16" ht="15.75" spans="6:7">
      <c r="F16" s="283">
        <v>13</v>
      </c>
      <c r="G16" s="284">
        <v>49</v>
      </c>
    </row>
    <row r="17" ht="15.75" spans="6:7">
      <c r="F17" s="281">
        <v>14</v>
      </c>
      <c r="G17" s="282">
        <v>47</v>
      </c>
    </row>
    <row r="18" ht="15.75" spans="6:7">
      <c r="F18" s="283">
        <v>15</v>
      </c>
      <c r="G18" s="284">
        <v>45</v>
      </c>
    </row>
    <row r="19" ht="15.75" spans="6:7">
      <c r="F19" s="281">
        <v>16</v>
      </c>
      <c r="G19" s="282">
        <v>43</v>
      </c>
    </row>
    <row r="20" ht="15.75" spans="6:7">
      <c r="F20" s="283">
        <v>17</v>
      </c>
      <c r="G20" s="284">
        <v>41</v>
      </c>
    </row>
    <row r="21" ht="15.75" spans="6:7">
      <c r="F21" s="281">
        <v>18</v>
      </c>
      <c r="G21" s="282">
        <v>39</v>
      </c>
    </row>
    <row r="22" ht="15.75" spans="6:7">
      <c r="F22" s="283">
        <v>19</v>
      </c>
      <c r="G22" s="284">
        <v>37</v>
      </c>
    </row>
    <row r="23" ht="15.75" spans="6:7">
      <c r="F23" s="281">
        <v>20</v>
      </c>
      <c r="G23" s="282">
        <v>35</v>
      </c>
    </row>
    <row r="24" ht="15.75" spans="6:7">
      <c r="F24" s="283">
        <v>21</v>
      </c>
      <c r="G24" s="284">
        <v>33</v>
      </c>
    </row>
    <row r="25" ht="15.75" spans="6:7">
      <c r="F25" s="281">
        <v>22</v>
      </c>
      <c r="G25" s="282">
        <v>31</v>
      </c>
    </row>
    <row r="26" ht="15.75" spans="6:7">
      <c r="F26" s="283">
        <v>23</v>
      </c>
      <c r="G26" s="284">
        <v>29</v>
      </c>
    </row>
    <row r="27" ht="15.75" spans="6:7">
      <c r="F27" s="281">
        <v>24</v>
      </c>
      <c r="G27" s="282">
        <v>27</v>
      </c>
    </row>
    <row r="28" ht="15.75" spans="6:7">
      <c r="F28" s="283">
        <v>25</v>
      </c>
      <c r="G28" s="284">
        <v>25</v>
      </c>
    </row>
    <row r="29" ht="15.75" spans="6:7">
      <c r="F29" s="281">
        <v>26</v>
      </c>
      <c r="G29" s="282">
        <v>23</v>
      </c>
    </row>
    <row r="30" ht="15.75" spans="6:7">
      <c r="F30" s="283">
        <v>27</v>
      </c>
      <c r="G30" s="284">
        <v>21</v>
      </c>
    </row>
    <row r="31" ht="15.75" spans="6:7">
      <c r="F31" s="281">
        <v>28</v>
      </c>
      <c r="G31" s="282">
        <v>19</v>
      </c>
    </row>
    <row r="32" ht="15.75" spans="6:7">
      <c r="F32" s="283">
        <v>29</v>
      </c>
      <c r="G32" s="284">
        <v>17</v>
      </c>
    </row>
    <row r="33" ht="15.75" spans="6:7">
      <c r="F33" s="281">
        <v>30</v>
      </c>
      <c r="G33" s="282">
        <v>15</v>
      </c>
    </row>
    <row r="34" ht="15.75" spans="6:7">
      <c r="F34" s="283">
        <v>31</v>
      </c>
      <c r="G34" s="284">
        <v>13</v>
      </c>
    </row>
    <row r="35" ht="15.75" spans="6:7">
      <c r="F35" s="281">
        <v>32</v>
      </c>
      <c r="G35" s="282">
        <v>12</v>
      </c>
    </row>
    <row r="36" ht="15.75" spans="6:7">
      <c r="F36" s="283">
        <v>33</v>
      </c>
      <c r="G36" s="284">
        <v>11</v>
      </c>
    </row>
    <row r="37" ht="15.75" spans="6:7">
      <c r="F37" s="281">
        <v>34</v>
      </c>
      <c r="G37" s="282">
        <v>10</v>
      </c>
    </row>
    <row r="38" ht="15.75" spans="6:7">
      <c r="F38" s="283">
        <v>35</v>
      </c>
      <c r="G38" s="284">
        <v>9</v>
      </c>
    </row>
    <row r="39" ht="15.75" spans="6:7">
      <c r="F39" s="281">
        <v>36</v>
      </c>
      <c r="G39" s="282">
        <v>8</v>
      </c>
    </row>
    <row r="40" ht="15.75" spans="6:7">
      <c r="F40" s="283">
        <v>37</v>
      </c>
      <c r="G40" s="284">
        <v>7</v>
      </c>
    </row>
    <row r="41" ht="15.75" spans="6:7">
      <c r="F41" s="281">
        <v>38</v>
      </c>
      <c r="G41" s="282">
        <v>6</v>
      </c>
    </row>
    <row r="42" ht="15.75" spans="6:7">
      <c r="F42" s="283">
        <v>39</v>
      </c>
      <c r="G42" s="284">
        <v>5</v>
      </c>
    </row>
    <row r="43" ht="15.75" spans="6:7">
      <c r="F43" s="285">
        <v>40</v>
      </c>
      <c r="G43" s="282">
        <v>4</v>
      </c>
    </row>
    <row r="44" ht="15.75" spans="6:7">
      <c r="F44" s="278" t="s">
        <v>56</v>
      </c>
      <c r="G44" s="286">
        <v>4</v>
      </c>
    </row>
  </sheetData>
  <pageMargins left="0.7" right="0.7" top="0.75" bottom="0.75" header="0.3" footer="0.3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57"/>
  <sheetViews>
    <sheetView tabSelected="1" zoomScale="67" zoomScaleNormal="67" zoomScaleSheetLayoutView="40" workbookViewId="0">
      <selection activeCell="T9" sqref="T9"/>
    </sheetView>
  </sheetViews>
  <sheetFormatPr defaultColWidth="9.14285714285714" defaultRowHeight="25.5" customHeight="1"/>
  <cols>
    <col min="1" max="1" width="10.4285714285714" style="79" customWidth="1"/>
    <col min="2" max="2" width="36.4285714285714" style="80" customWidth="1"/>
    <col min="3" max="3" width="17.7142857142857" style="80" customWidth="1"/>
    <col min="4" max="4" width="15" style="80" customWidth="1"/>
    <col min="5" max="5" width="12.4285714285714" style="80" customWidth="1"/>
    <col min="6" max="6" width="21.4285714285714" style="33" customWidth="1"/>
    <col min="7" max="7" width="12.7142857142857" style="79" customWidth="1"/>
    <col min="8" max="8" width="17.5714285714286" style="79" customWidth="1"/>
    <col min="9" max="9" width="15" style="33" customWidth="1"/>
    <col min="10" max="10" width="14.1428571428571" style="79" customWidth="1"/>
    <col min="11" max="11" width="13.8571428571429" style="79" customWidth="1"/>
    <col min="12" max="12" width="12.7142857142857" style="79" customWidth="1"/>
    <col min="13" max="13" width="12.2857142857143" style="79" customWidth="1"/>
    <col min="14" max="14" width="19.2857142857143" style="79" customWidth="1"/>
    <col min="15" max="15" width="18.7142857142857" style="79" customWidth="1"/>
    <col min="16" max="16" width="17.7142857142857" style="79" customWidth="1"/>
    <col min="17" max="17" width="12.2857142857143" style="79" customWidth="1"/>
    <col min="18" max="18" width="11.4285714285714" style="79" customWidth="1"/>
    <col min="19" max="19" width="12.7142857142857" style="79" customWidth="1"/>
    <col min="20" max="20" width="11" style="79" customWidth="1"/>
    <col min="21" max="21" width="12.5714285714286" style="79" customWidth="1"/>
    <col min="22" max="22" width="11.2857142857143" style="79" customWidth="1"/>
    <col min="23" max="24" width="12.2857142857143" style="79" customWidth="1"/>
    <col min="25" max="25" width="15" style="79" customWidth="1"/>
    <col min="26" max="26" width="4" style="79" customWidth="1"/>
    <col min="27" max="27" width="15.5714285714286" style="79" customWidth="1"/>
    <col min="28" max="28" width="4" style="79" customWidth="1"/>
    <col min="29" max="30" width="15" style="79" customWidth="1"/>
    <col min="31" max="31" width="9.14285714285714" style="79"/>
    <col min="32" max="71" width="9.14285714285714" style="202"/>
    <col min="72" max="16384" width="9.14285714285714" style="79"/>
  </cols>
  <sheetData>
    <row r="1" ht="72.95" customHeight="1" spans="1:30">
      <c r="A1" s="82" t="s">
        <v>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159"/>
    </row>
    <row r="2" customHeight="1" spans="1:30">
      <c r="A2" s="203"/>
      <c r="B2" s="204"/>
      <c r="C2" s="204"/>
      <c r="D2" s="204"/>
      <c r="E2" s="204"/>
      <c r="F2" s="205"/>
      <c r="G2" s="206">
        <f>IF(COUNTA(MASCHI4[18-feb])=0,0,COUNTA(MASCHI4[18-feb]))</f>
        <v>11</v>
      </c>
      <c r="H2" s="206">
        <f>IF(COUNTA(MASCHI4[29-mar])=0,0,COUNTA(MASCHI4[29-mar]))</f>
        <v>14</v>
      </c>
      <c r="I2" s="253">
        <f>IF(COUNTA(MASCHI4[6/7 apr])=0,0,COUNTA(MASCHI4[6/7 apr]))</f>
        <v>7</v>
      </c>
      <c r="J2" s="206">
        <f>IF(COUNTA(MASCHI4[11-giu])=0,0,COUNTA(MASCHI4[11-giu]))</f>
        <v>14</v>
      </c>
      <c r="K2" s="206">
        <f>IF(COUNTA(MASCHI4[22/23-giu])=0,0,COUNTA(MASCHI4[22/23-giu]))</f>
        <v>14</v>
      </c>
      <c r="L2" s="206">
        <f>IF(COUNTA(MASCHI4[23-lug])=0,0,COUNTA(MASCHI4[23-lug]))</f>
        <v>12</v>
      </c>
      <c r="M2" s="206">
        <f>IF(COUNTA(MASCHI4[31-lug])=0,0,COUNTA(MASCHI4[31-lug]))</f>
        <v>12</v>
      </c>
      <c r="N2" s="206">
        <f>IF(COUNTA(MASCHI4[31-ago/01-sett])=0,0,COUNTA(MASCHI4[31-ago/01-sett]))</f>
        <v>12</v>
      </c>
      <c r="O2" s="206">
        <f>IF(COUNTA(MASCHI4[10-set])=0,0,COUNTA(MASCHI4[10-set]))</f>
        <v>13</v>
      </c>
      <c r="P2" s="206">
        <f>IF(COUNTA(MASCHI4[21-22 sett])=0,0,COUNTA(MASCHI4[21-22 sett]))</f>
        <v>15</v>
      </c>
      <c r="Q2" s="206">
        <f>IF(COUNTA(MASCHI4[Data 11])=0,0,COUNTA(MASCHI4[Data 11]))</f>
        <v>0</v>
      </c>
      <c r="R2" s="206">
        <f>IF(COUNTA(MASCHI4[Data 12])=0,0,COUNTA(MASCHI4[Data 12]))</f>
        <v>0</v>
      </c>
      <c r="S2" s="206"/>
      <c r="T2" s="206"/>
      <c r="U2" s="206"/>
      <c r="V2" s="206"/>
      <c r="W2" s="206"/>
      <c r="X2" s="206">
        <f>IF(COUNTA(MASCHI4[Data 18])=0,0,COUNTA(MASCHI4[Data 18]))</f>
        <v>0</v>
      </c>
      <c r="Y2" s="206">
        <f>SUM(X2)</f>
        <v>0</v>
      </c>
      <c r="Z2" s="206"/>
      <c r="AA2" s="206">
        <f>IF(COUNTA(MASCHI4[Data 18])=0,0,COUNTA(MASCHI4[Data 18]))</f>
        <v>0</v>
      </c>
      <c r="AB2" s="260"/>
      <c r="AC2" s="260"/>
      <c r="AD2" s="260"/>
    </row>
    <row r="3" customHeight="1" spans="1:30">
      <c r="A3" s="203"/>
      <c r="B3" s="204"/>
      <c r="C3" s="204"/>
      <c r="D3" s="204"/>
      <c r="E3" s="204"/>
      <c r="F3" s="207"/>
      <c r="G3" s="206">
        <f>IF(G2=0,0,1)</f>
        <v>1</v>
      </c>
      <c r="H3" s="206">
        <f t="shared" ref="H3:X3" si="0">IF(H2=0,0,1)</f>
        <v>1</v>
      </c>
      <c r="I3" s="253">
        <f t="shared" si="0"/>
        <v>1</v>
      </c>
      <c r="J3" s="206">
        <f t="shared" si="0"/>
        <v>1</v>
      </c>
      <c r="K3" s="206">
        <f t="shared" si="0"/>
        <v>1</v>
      </c>
      <c r="L3" s="206">
        <f t="shared" si="0"/>
        <v>1</v>
      </c>
      <c r="M3" s="206">
        <f t="shared" si="0"/>
        <v>1</v>
      </c>
      <c r="N3" s="206">
        <f t="shared" si="0"/>
        <v>1</v>
      </c>
      <c r="O3" s="206">
        <f t="shared" si="0"/>
        <v>1</v>
      </c>
      <c r="P3" s="206">
        <f t="shared" si="0"/>
        <v>1</v>
      </c>
      <c r="Q3" s="206">
        <f t="shared" si="0"/>
        <v>0</v>
      </c>
      <c r="R3" s="206">
        <f t="shared" si="0"/>
        <v>0</v>
      </c>
      <c r="S3" s="206"/>
      <c r="T3" s="206"/>
      <c r="U3" s="206"/>
      <c r="V3" s="206"/>
      <c r="W3" s="206"/>
      <c r="X3" s="206">
        <f t="shared" si="0"/>
        <v>0</v>
      </c>
      <c r="Y3" s="206">
        <f>SUM(G3:X3)+AA3</f>
        <v>10</v>
      </c>
      <c r="Z3" s="206"/>
      <c r="AA3" s="206">
        <f t="shared" ref="AA3" si="1">IF(AA2=0,0,1)</f>
        <v>0</v>
      </c>
      <c r="AB3" s="260"/>
      <c r="AC3" s="260"/>
      <c r="AD3" s="260"/>
    </row>
    <row r="4" customHeight="1" spans="1:30">
      <c r="A4" s="208" t="s">
        <v>1</v>
      </c>
      <c r="B4" s="209"/>
      <c r="C4" s="209"/>
      <c r="D4" s="209"/>
      <c r="E4" s="210"/>
      <c r="F4" s="211"/>
      <c r="G4" s="212" t="s">
        <v>58</v>
      </c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61"/>
    </row>
    <row r="5" customHeight="1" spans="1:30">
      <c r="A5" s="214"/>
      <c r="B5" s="215"/>
      <c r="C5" s="215"/>
      <c r="D5" s="215"/>
      <c r="E5" s="216"/>
      <c r="F5" s="217"/>
      <c r="G5" s="218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62"/>
    </row>
    <row r="6" customHeight="1" spans="1:36">
      <c r="A6" s="220"/>
      <c r="B6" s="221"/>
      <c r="C6" s="221"/>
      <c r="D6" s="221"/>
      <c r="E6" s="222"/>
      <c r="F6" s="205"/>
      <c r="G6" s="223" t="s">
        <v>59</v>
      </c>
      <c r="H6" s="223" t="s">
        <v>60</v>
      </c>
      <c r="I6" s="223" t="s">
        <v>61</v>
      </c>
      <c r="J6" s="223" t="s">
        <v>62</v>
      </c>
      <c r="K6" s="223" t="s">
        <v>63</v>
      </c>
      <c r="L6" s="223" t="s">
        <v>64</v>
      </c>
      <c r="M6" s="223" t="s">
        <v>65</v>
      </c>
      <c r="N6" s="223" t="s">
        <v>66</v>
      </c>
      <c r="O6" s="223" t="s">
        <v>67</v>
      </c>
      <c r="P6" s="223" t="s">
        <v>68</v>
      </c>
      <c r="Q6" s="223" t="s">
        <v>69</v>
      </c>
      <c r="R6" s="223" t="s">
        <v>70</v>
      </c>
      <c r="S6" s="223" t="s">
        <v>71</v>
      </c>
      <c r="T6" s="223" t="s">
        <v>72</v>
      </c>
      <c r="U6" s="223" t="s">
        <v>73</v>
      </c>
      <c r="V6" s="223" t="s">
        <v>74</v>
      </c>
      <c r="W6" s="223" t="s">
        <v>75</v>
      </c>
      <c r="X6" s="223" t="s">
        <v>76</v>
      </c>
      <c r="Y6" s="263"/>
      <c r="Z6" s="163"/>
      <c r="AA6" s="164" t="s">
        <v>16</v>
      </c>
      <c r="AB6" s="163"/>
      <c r="AC6" s="165" t="s">
        <v>17</v>
      </c>
      <c r="AD6" s="264" t="s">
        <v>18</v>
      </c>
      <c r="AE6" s="167"/>
      <c r="AF6" s="141"/>
      <c r="AG6" s="141"/>
      <c r="AH6" s="141"/>
      <c r="AI6" s="141"/>
      <c r="AJ6" s="141"/>
    </row>
    <row r="7" s="78" customFormat="1" customHeight="1" spans="1:71">
      <c r="A7" s="203"/>
      <c r="B7" s="204"/>
      <c r="C7" s="204"/>
      <c r="D7" s="204"/>
      <c r="E7" s="204"/>
      <c r="F7" s="205"/>
      <c r="G7" s="224" t="s">
        <v>77</v>
      </c>
      <c r="H7" s="224" t="s">
        <v>78</v>
      </c>
      <c r="I7" s="224" t="s">
        <v>79</v>
      </c>
      <c r="J7" s="224" t="s">
        <v>80</v>
      </c>
      <c r="K7" s="224" t="s">
        <v>81</v>
      </c>
      <c r="L7" s="224" t="s">
        <v>82</v>
      </c>
      <c r="M7" s="224" t="s">
        <v>83</v>
      </c>
      <c r="N7" s="224" t="s">
        <v>84</v>
      </c>
      <c r="O7" s="224" t="s">
        <v>84</v>
      </c>
      <c r="P7" s="224" t="s">
        <v>85</v>
      </c>
      <c r="Q7" s="224" t="s">
        <v>86</v>
      </c>
      <c r="R7" s="224" t="s">
        <v>87</v>
      </c>
      <c r="S7" s="224" t="s">
        <v>88</v>
      </c>
      <c r="T7" s="224" t="s">
        <v>89</v>
      </c>
      <c r="U7" s="224" t="s">
        <v>90</v>
      </c>
      <c r="V7" s="224" t="s">
        <v>91</v>
      </c>
      <c r="W7" s="224" t="s">
        <v>92</v>
      </c>
      <c r="X7" s="224" t="s">
        <v>93</v>
      </c>
      <c r="Y7" s="265"/>
      <c r="Z7" s="169"/>
      <c r="AA7" s="170"/>
      <c r="AB7" s="169"/>
      <c r="AC7" s="165"/>
      <c r="AD7" s="264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</row>
    <row r="8" customHeight="1" spans="1:31">
      <c r="A8" s="225" t="s">
        <v>20</v>
      </c>
      <c r="B8" s="226" t="s">
        <v>21</v>
      </c>
      <c r="C8" s="227" t="s">
        <v>22</v>
      </c>
      <c r="D8" s="227" t="s">
        <v>23</v>
      </c>
      <c r="E8" s="228" t="s">
        <v>24</v>
      </c>
      <c r="F8" s="227" t="s">
        <v>25</v>
      </c>
      <c r="G8" s="325" t="s">
        <v>94</v>
      </c>
      <c r="H8" s="325" t="s">
        <v>95</v>
      </c>
      <c r="I8" s="325" t="s">
        <v>96</v>
      </c>
      <c r="J8" s="325" t="s">
        <v>97</v>
      </c>
      <c r="K8" s="325" t="s">
        <v>98</v>
      </c>
      <c r="L8" s="325" t="s">
        <v>99</v>
      </c>
      <c r="M8" s="325" t="s">
        <v>100</v>
      </c>
      <c r="N8" s="325" t="s">
        <v>101</v>
      </c>
      <c r="O8" s="325" t="s">
        <v>102</v>
      </c>
      <c r="P8" s="325" t="s">
        <v>103</v>
      </c>
      <c r="Q8" s="325" t="s">
        <v>104</v>
      </c>
      <c r="R8" s="325" t="s">
        <v>105</v>
      </c>
      <c r="S8" s="325" t="s">
        <v>106</v>
      </c>
      <c r="T8" s="325" t="s">
        <v>107</v>
      </c>
      <c r="U8" s="325" t="s">
        <v>108</v>
      </c>
      <c r="V8" s="325" t="s">
        <v>109</v>
      </c>
      <c r="W8" s="325" t="s">
        <v>110</v>
      </c>
      <c r="X8" s="325" t="s">
        <v>111</v>
      </c>
      <c r="Y8" s="267" t="s">
        <v>39</v>
      </c>
      <c r="Z8" s="171" t="s">
        <v>40</v>
      </c>
      <c r="AA8" s="326" t="s">
        <v>41</v>
      </c>
      <c r="AB8" s="173" t="s">
        <v>42</v>
      </c>
      <c r="AC8" s="269" t="s">
        <v>43</v>
      </c>
      <c r="AD8" s="270" t="s">
        <v>44</v>
      </c>
      <c r="AE8" s="81"/>
    </row>
    <row r="9" customHeight="1" spans="1:31">
      <c r="A9" s="230">
        <f t="shared" ref="A9:A24" si="2">IF(A8="Elenco",1,A8+1)</f>
        <v>1</v>
      </c>
      <c r="B9" s="231" t="s">
        <v>112</v>
      </c>
      <c r="C9" s="112">
        <v>2009</v>
      </c>
      <c r="D9" s="112" t="s">
        <v>48</v>
      </c>
      <c r="E9" s="113">
        <f t="shared" ref="E9:E34" si="3">IF(COUNTA(G9:X9,AA9)=0,"",COUNTA(G9:X9,AA9))</f>
        <v>10</v>
      </c>
      <c r="F9" s="232" t="s">
        <v>82</v>
      </c>
      <c r="G9" s="233">
        <v>3</v>
      </c>
      <c r="H9" s="115">
        <v>9</v>
      </c>
      <c r="I9" s="115">
        <v>6</v>
      </c>
      <c r="J9" s="115">
        <v>7</v>
      </c>
      <c r="K9" s="115">
        <v>8</v>
      </c>
      <c r="L9" s="115">
        <v>1</v>
      </c>
      <c r="M9" s="115">
        <v>2</v>
      </c>
      <c r="N9" s="115">
        <v>1</v>
      </c>
      <c r="O9" s="115">
        <v>3</v>
      </c>
      <c r="P9" s="115">
        <v>3</v>
      </c>
      <c r="Q9" s="115"/>
      <c r="R9" s="115"/>
      <c r="S9" s="115"/>
      <c r="T9" s="115"/>
      <c r="U9" s="115"/>
      <c r="V9" s="115"/>
      <c r="W9" s="259"/>
      <c r="X9" s="115"/>
      <c r="Y9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842</v>
      </c>
      <c r="Z9" s="272">
        <f>AVERAGE(MASCHI4[[#This Row],[18-feb]:[Data 18]])</f>
        <v>4.3</v>
      </c>
      <c r="AA9" s="178"/>
      <c r="AB9" s="179"/>
      <c r="AC9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842</v>
      </c>
      <c r="AD9" s="273">
        <f t="shared" ref="AD9:AD34" si="4">IFERROR(IF(E9=0,"",AC9/E9),"")</f>
        <v>84.2</v>
      </c>
      <c r="AE9" s="81"/>
    </row>
    <row r="10" customHeight="1" spans="1:31">
      <c r="A10" s="230">
        <f t="shared" si="2"/>
        <v>2</v>
      </c>
      <c r="B10" s="231" t="s">
        <v>113</v>
      </c>
      <c r="C10" s="112">
        <v>2009</v>
      </c>
      <c r="D10" s="112" t="s">
        <v>54</v>
      </c>
      <c r="E10" s="113">
        <f t="shared" si="3"/>
        <v>9</v>
      </c>
      <c r="F10" s="232" t="s">
        <v>83</v>
      </c>
      <c r="G10" s="233">
        <v>2</v>
      </c>
      <c r="H10" s="115">
        <v>1</v>
      </c>
      <c r="I10" s="115"/>
      <c r="J10" s="115">
        <v>1</v>
      </c>
      <c r="K10" s="115">
        <v>2</v>
      </c>
      <c r="L10" s="115">
        <v>4</v>
      </c>
      <c r="M10" s="115">
        <v>2</v>
      </c>
      <c r="N10" s="115">
        <v>17</v>
      </c>
      <c r="O10" s="115">
        <v>1</v>
      </c>
      <c r="P10" s="115">
        <v>11</v>
      </c>
      <c r="Q10" s="115"/>
      <c r="R10" s="115"/>
      <c r="S10" s="115"/>
      <c r="T10" s="115"/>
      <c r="U10" s="115"/>
      <c r="V10" s="115"/>
      <c r="W10" s="115"/>
      <c r="X10" s="115"/>
      <c r="Y10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806</v>
      </c>
      <c r="Z10" s="272">
        <f>AVERAGE(MASCHI4[[#This Row],[18-feb]:[Data 18]])</f>
        <v>4.55555555555556</v>
      </c>
      <c r="AA10" s="178"/>
      <c r="AB10" s="179"/>
      <c r="AC10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806</v>
      </c>
      <c r="AD10" s="273">
        <f t="shared" si="4"/>
        <v>89.5555555555556</v>
      </c>
      <c r="AE10" s="81"/>
    </row>
    <row r="11" customHeight="1" spans="1:31">
      <c r="A11" s="230">
        <f t="shared" si="2"/>
        <v>3</v>
      </c>
      <c r="B11" s="231" t="s">
        <v>114</v>
      </c>
      <c r="C11" s="112">
        <v>2008</v>
      </c>
      <c r="D11" s="112" t="s">
        <v>48</v>
      </c>
      <c r="E11" s="113">
        <f t="shared" si="3"/>
        <v>10</v>
      </c>
      <c r="F11" s="232" t="s">
        <v>115</v>
      </c>
      <c r="G11" s="233">
        <v>1</v>
      </c>
      <c r="H11" s="115">
        <v>6</v>
      </c>
      <c r="I11" s="115">
        <v>2</v>
      </c>
      <c r="J11" s="115">
        <v>2</v>
      </c>
      <c r="K11" s="115">
        <v>5</v>
      </c>
      <c r="L11" s="115">
        <v>4</v>
      </c>
      <c r="M11" s="115">
        <v>5</v>
      </c>
      <c r="N11" s="115">
        <v>15</v>
      </c>
      <c r="O11" s="115">
        <v>10</v>
      </c>
      <c r="P11" s="115">
        <v>2</v>
      </c>
      <c r="Q11" s="115"/>
      <c r="R11" s="115"/>
      <c r="S11" s="115"/>
      <c r="T11" s="115"/>
      <c r="U11" s="115"/>
      <c r="V11" s="115"/>
      <c r="W11" s="115"/>
      <c r="X11" s="115"/>
      <c r="Y11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803</v>
      </c>
      <c r="Z11" s="272">
        <f>AVERAGE(MASCHI4[[#This Row],[18-feb]:[Data 18]])</f>
        <v>5.2</v>
      </c>
      <c r="AA11" s="178"/>
      <c r="AB11" s="179"/>
      <c r="AC11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803</v>
      </c>
      <c r="AD11" s="273">
        <f t="shared" si="4"/>
        <v>80.3</v>
      </c>
      <c r="AE11" s="81"/>
    </row>
    <row r="12" customHeight="1" spans="1:31">
      <c r="A12" s="230">
        <f t="shared" si="2"/>
        <v>4</v>
      </c>
      <c r="B12" s="231" t="s">
        <v>116</v>
      </c>
      <c r="C12" s="112">
        <v>2010</v>
      </c>
      <c r="D12" s="112" t="s">
        <v>54</v>
      </c>
      <c r="E12" s="113">
        <f t="shared" si="3"/>
        <v>10</v>
      </c>
      <c r="F12" s="232" t="s">
        <v>117</v>
      </c>
      <c r="G12" s="233">
        <v>5</v>
      </c>
      <c r="H12" s="115">
        <v>5</v>
      </c>
      <c r="I12" s="115">
        <v>3</v>
      </c>
      <c r="J12" s="115">
        <v>11</v>
      </c>
      <c r="K12" s="115">
        <v>4</v>
      </c>
      <c r="L12" s="115">
        <v>7</v>
      </c>
      <c r="M12" s="115">
        <v>2</v>
      </c>
      <c r="N12" s="115">
        <v>10</v>
      </c>
      <c r="O12" s="115">
        <v>7</v>
      </c>
      <c r="P12" s="115">
        <v>9</v>
      </c>
      <c r="Q12" s="115"/>
      <c r="R12" s="115"/>
      <c r="S12" s="115"/>
      <c r="T12" s="115"/>
      <c r="U12" s="115"/>
      <c r="V12" s="115"/>
      <c r="W12" s="115"/>
      <c r="X12" s="115"/>
      <c r="Y12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718</v>
      </c>
      <c r="Z12" s="272">
        <f>AVERAGE(MASCHI4[[#This Row],[18-feb]:[Data 18]])</f>
        <v>6.3</v>
      </c>
      <c r="AA12" s="178"/>
      <c r="AB12" s="179"/>
      <c r="AC12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718</v>
      </c>
      <c r="AD12" s="273">
        <f t="shared" si="4"/>
        <v>71.8</v>
      </c>
      <c r="AE12" s="81"/>
    </row>
    <row r="13" customHeight="1" spans="1:31">
      <c r="A13" s="230">
        <f t="shared" si="2"/>
        <v>5</v>
      </c>
      <c r="B13" s="231" t="s">
        <v>118</v>
      </c>
      <c r="C13" s="112">
        <v>2007</v>
      </c>
      <c r="D13" s="112" t="s">
        <v>48</v>
      </c>
      <c r="E13" s="113">
        <f t="shared" si="3"/>
        <v>10</v>
      </c>
      <c r="F13" s="232" t="s">
        <v>80</v>
      </c>
      <c r="G13" s="233">
        <v>5</v>
      </c>
      <c r="H13" s="115">
        <v>4</v>
      </c>
      <c r="I13" s="115">
        <v>8</v>
      </c>
      <c r="J13" s="115">
        <v>2</v>
      </c>
      <c r="K13" s="115">
        <v>9</v>
      </c>
      <c r="L13" s="115">
        <v>7</v>
      </c>
      <c r="M13" s="115">
        <v>5</v>
      </c>
      <c r="N13" s="115">
        <v>12</v>
      </c>
      <c r="O13" s="115">
        <v>6</v>
      </c>
      <c r="P13" s="115">
        <v>6</v>
      </c>
      <c r="Q13" s="115"/>
      <c r="R13" s="115"/>
      <c r="S13" s="115"/>
      <c r="T13" s="115"/>
      <c r="U13" s="115"/>
      <c r="V13" s="115"/>
      <c r="W13" s="115"/>
      <c r="X13" s="115"/>
      <c r="Y13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709</v>
      </c>
      <c r="Z13" s="272">
        <f>AVERAGE(MASCHI4[[#This Row],[18-feb]:[Data 18]])</f>
        <v>6.4</v>
      </c>
      <c r="AA13" s="178"/>
      <c r="AB13" s="179"/>
      <c r="AC13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709</v>
      </c>
      <c r="AD13" s="273">
        <f t="shared" si="4"/>
        <v>70.9</v>
      </c>
      <c r="AE13" s="81"/>
    </row>
    <row r="14" customHeight="1" spans="1:31">
      <c r="A14" s="230">
        <f t="shared" si="2"/>
        <v>6</v>
      </c>
      <c r="B14" s="231" t="s">
        <v>119</v>
      </c>
      <c r="C14" s="112">
        <v>2011</v>
      </c>
      <c r="D14" s="112" t="s">
        <v>54</v>
      </c>
      <c r="E14" s="113">
        <f t="shared" si="3"/>
        <v>10</v>
      </c>
      <c r="F14" s="232" t="s">
        <v>117</v>
      </c>
      <c r="G14" s="233">
        <v>7</v>
      </c>
      <c r="H14" s="115">
        <v>8</v>
      </c>
      <c r="I14" s="115">
        <v>7</v>
      </c>
      <c r="J14" s="115">
        <v>7</v>
      </c>
      <c r="K14" s="115">
        <v>6</v>
      </c>
      <c r="L14" s="115">
        <v>4</v>
      </c>
      <c r="M14" s="115">
        <v>5</v>
      </c>
      <c r="N14" s="115">
        <v>12</v>
      </c>
      <c r="O14" s="115">
        <v>7</v>
      </c>
      <c r="P14" s="115">
        <v>17</v>
      </c>
      <c r="Q14" s="115"/>
      <c r="R14" s="115"/>
      <c r="S14" s="115"/>
      <c r="T14" s="115"/>
      <c r="U14" s="115"/>
      <c r="V14" s="115"/>
      <c r="W14" s="115"/>
      <c r="X14" s="115"/>
      <c r="Y14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650</v>
      </c>
      <c r="Z14" s="272">
        <f>AVERAGE(MASCHI4[[#This Row],[18-feb]:[Data 18]])</f>
        <v>8</v>
      </c>
      <c r="AA14" s="178"/>
      <c r="AB14" s="179"/>
      <c r="AC14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650</v>
      </c>
      <c r="AD14" s="273">
        <f t="shared" si="4"/>
        <v>65</v>
      </c>
      <c r="AE14" s="81"/>
    </row>
    <row r="15" customHeight="1" spans="1:31">
      <c r="A15" s="230">
        <f t="shared" si="2"/>
        <v>7</v>
      </c>
      <c r="B15" s="231" t="s">
        <v>120</v>
      </c>
      <c r="C15" s="112">
        <v>2007</v>
      </c>
      <c r="D15" s="112" t="s">
        <v>48</v>
      </c>
      <c r="E15" s="113">
        <f t="shared" si="3"/>
        <v>6</v>
      </c>
      <c r="F15" s="232" t="s">
        <v>117</v>
      </c>
      <c r="G15" s="233"/>
      <c r="H15" s="115">
        <v>2</v>
      </c>
      <c r="I15" s="115">
        <v>5</v>
      </c>
      <c r="J15" s="115">
        <v>4</v>
      </c>
      <c r="K15" s="115">
        <v>1</v>
      </c>
      <c r="L15" s="115"/>
      <c r="M15" s="115"/>
      <c r="N15" s="115"/>
      <c r="O15" s="115">
        <v>2</v>
      </c>
      <c r="P15" s="115">
        <v>11</v>
      </c>
      <c r="Q15" s="115"/>
      <c r="R15" s="115"/>
      <c r="S15" s="115"/>
      <c r="T15" s="115"/>
      <c r="U15" s="115"/>
      <c r="V15" s="115"/>
      <c r="W15" s="115"/>
      <c r="X15" s="115"/>
      <c r="Y15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515</v>
      </c>
      <c r="Z15" s="272">
        <f>AVERAGE(MASCHI4[[#This Row],[18-feb]:[Data 18]])</f>
        <v>4.16666666666667</v>
      </c>
      <c r="AA15" s="178"/>
      <c r="AB15" s="179"/>
      <c r="AC15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515</v>
      </c>
      <c r="AD15" s="273">
        <f t="shared" si="4"/>
        <v>85.8333333333333</v>
      </c>
      <c r="AE15" s="81"/>
    </row>
    <row r="16" customHeight="1" spans="1:31">
      <c r="A16" s="230">
        <f t="shared" si="2"/>
        <v>8</v>
      </c>
      <c r="B16" s="231" t="s">
        <v>121</v>
      </c>
      <c r="C16" s="112">
        <v>2010</v>
      </c>
      <c r="D16" s="112" t="s">
        <v>48</v>
      </c>
      <c r="E16" s="113">
        <f t="shared" si="3"/>
        <v>7</v>
      </c>
      <c r="F16" s="232" t="s">
        <v>122</v>
      </c>
      <c r="G16" s="233">
        <v>8</v>
      </c>
      <c r="H16" s="115">
        <v>7</v>
      </c>
      <c r="I16" s="115"/>
      <c r="J16" s="115"/>
      <c r="K16" s="115"/>
      <c r="L16" s="115">
        <v>2</v>
      </c>
      <c r="M16" s="115">
        <v>8</v>
      </c>
      <c r="N16" s="115">
        <v>4</v>
      </c>
      <c r="O16" s="115">
        <v>4</v>
      </c>
      <c r="P16" s="115">
        <v>14</v>
      </c>
      <c r="Q16" s="115"/>
      <c r="R16" s="115"/>
      <c r="S16" s="115"/>
      <c r="T16" s="115"/>
      <c r="U16" s="115"/>
      <c r="V16" s="115"/>
      <c r="W16" s="115"/>
      <c r="X16" s="115"/>
      <c r="Y16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497</v>
      </c>
      <c r="Z16" s="272">
        <f>AVERAGE(MASCHI4[[#This Row],[18-feb]:[Data 18]])</f>
        <v>6.71428571428571</v>
      </c>
      <c r="AA16" s="178"/>
      <c r="AB16" s="179"/>
      <c r="AC16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497</v>
      </c>
      <c r="AD16" s="273">
        <f t="shared" si="4"/>
        <v>71</v>
      </c>
      <c r="AE16" s="81"/>
    </row>
    <row r="17" customHeight="1" spans="1:31">
      <c r="A17" s="230">
        <f t="shared" si="2"/>
        <v>9</v>
      </c>
      <c r="B17" s="231" t="s">
        <v>123</v>
      </c>
      <c r="C17" s="112">
        <v>2009</v>
      </c>
      <c r="D17" s="112"/>
      <c r="E17" s="113">
        <f t="shared" si="3"/>
        <v>9</v>
      </c>
      <c r="F17" s="232" t="s">
        <v>122</v>
      </c>
      <c r="G17" s="233">
        <v>8</v>
      </c>
      <c r="H17" s="115">
        <v>10</v>
      </c>
      <c r="I17" s="115"/>
      <c r="J17" s="115">
        <v>9</v>
      </c>
      <c r="K17" s="115">
        <v>20</v>
      </c>
      <c r="L17" s="115">
        <v>13</v>
      </c>
      <c r="M17" s="115">
        <v>9</v>
      </c>
      <c r="N17" s="115">
        <v>22</v>
      </c>
      <c r="O17" s="115">
        <v>11</v>
      </c>
      <c r="P17" s="115">
        <v>22</v>
      </c>
      <c r="Q17" s="115"/>
      <c r="R17" s="115"/>
      <c r="S17" s="115"/>
      <c r="T17" s="115"/>
      <c r="U17" s="115"/>
      <c r="V17" s="115"/>
      <c r="W17" s="115"/>
      <c r="X17" s="115"/>
      <c r="Y17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445</v>
      </c>
      <c r="Z17" s="272">
        <f>AVERAGE(MASCHI4[[#This Row],[18-feb]:[Data 18]])</f>
        <v>13.7777777777778</v>
      </c>
      <c r="AA17" s="178"/>
      <c r="AB17" s="179"/>
      <c r="AC17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445</v>
      </c>
      <c r="AD17" s="273">
        <f t="shared" si="4"/>
        <v>49.4444444444444</v>
      </c>
      <c r="AE17" s="81"/>
    </row>
    <row r="18" customHeight="1" spans="1:31">
      <c r="A18" s="234">
        <f t="shared" si="2"/>
        <v>10</v>
      </c>
      <c r="B18" s="235" t="s">
        <v>124</v>
      </c>
      <c r="C18" s="112">
        <v>2010</v>
      </c>
      <c r="D18" s="112" t="s">
        <v>48</v>
      </c>
      <c r="E18" s="113">
        <f t="shared" si="3"/>
        <v>6</v>
      </c>
      <c r="F18" s="236" t="s">
        <v>80</v>
      </c>
      <c r="G18" s="233"/>
      <c r="H18" s="115"/>
      <c r="I18" s="115"/>
      <c r="J18" s="115">
        <v>5</v>
      </c>
      <c r="K18" s="115">
        <v>15</v>
      </c>
      <c r="L18" s="115">
        <v>3</v>
      </c>
      <c r="M18" s="254"/>
      <c r="N18" s="115">
        <v>8</v>
      </c>
      <c r="O18" s="115">
        <v>5</v>
      </c>
      <c r="P18" s="115">
        <v>14</v>
      </c>
      <c r="Q18" s="115"/>
      <c r="R18" s="115"/>
      <c r="S18" s="254"/>
      <c r="T18" s="254"/>
      <c r="U18" s="254"/>
      <c r="V18" s="254"/>
      <c r="W18" s="254"/>
      <c r="X18" s="115"/>
      <c r="Y18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391</v>
      </c>
      <c r="Z18" s="272">
        <f>AVERAGE(MASCHI4[[#This Row],[18-feb]:[Data 18]])</f>
        <v>8.33333333333333</v>
      </c>
      <c r="AA18" s="178"/>
      <c r="AB18" s="179"/>
      <c r="AC18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391</v>
      </c>
      <c r="AD18" s="274">
        <f t="shared" si="4"/>
        <v>65.1666666666667</v>
      </c>
      <c r="AE18" s="81"/>
    </row>
    <row r="19" customHeight="1" spans="1:31">
      <c r="A19" s="230">
        <f t="shared" si="2"/>
        <v>11</v>
      </c>
      <c r="B19" s="231" t="s">
        <v>125</v>
      </c>
      <c r="C19" s="112">
        <v>2007</v>
      </c>
      <c r="D19" s="112"/>
      <c r="E19" s="113">
        <f t="shared" si="3"/>
        <v>5</v>
      </c>
      <c r="F19" s="232" t="s">
        <v>83</v>
      </c>
      <c r="G19" s="233">
        <v>11</v>
      </c>
      <c r="H19" s="115">
        <v>12</v>
      </c>
      <c r="I19" s="115"/>
      <c r="J19" s="115">
        <v>12</v>
      </c>
      <c r="K19" s="115"/>
      <c r="L19" s="115">
        <v>9</v>
      </c>
      <c r="M19" s="115">
        <v>10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278</v>
      </c>
      <c r="Z19" s="272">
        <f>AVERAGE(MASCHI4[[#This Row],[18-feb]:[Data 18]])</f>
        <v>10.8</v>
      </c>
      <c r="AA19" s="178"/>
      <c r="AB19" s="179"/>
      <c r="AC19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278</v>
      </c>
      <c r="AD19" s="273">
        <f t="shared" si="4"/>
        <v>55.6</v>
      </c>
      <c r="AE19" s="81"/>
    </row>
    <row r="20" customHeight="1" spans="1:31">
      <c r="A20" s="230">
        <f t="shared" si="2"/>
        <v>12</v>
      </c>
      <c r="B20" s="231" t="s">
        <v>126</v>
      </c>
      <c r="C20" s="112">
        <v>2008</v>
      </c>
      <c r="D20" s="112" t="s">
        <v>48</v>
      </c>
      <c r="E20" s="113">
        <f t="shared" si="3"/>
        <v>4</v>
      </c>
      <c r="F20" s="232" t="s">
        <v>83</v>
      </c>
      <c r="G20" s="233">
        <v>10</v>
      </c>
      <c r="H20" s="115"/>
      <c r="I20" s="115"/>
      <c r="J20" s="115"/>
      <c r="K20" s="115"/>
      <c r="L20" s="115"/>
      <c r="M20" s="115">
        <v>1</v>
      </c>
      <c r="N20" s="115">
        <v>18</v>
      </c>
      <c r="O20" s="115"/>
      <c r="P20" s="115">
        <v>9</v>
      </c>
      <c r="Q20" s="115"/>
      <c r="R20" s="115"/>
      <c r="S20" s="115"/>
      <c r="T20" s="115"/>
      <c r="U20" s="115"/>
      <c r="V20" s="115"/>
      <c r="W20" s="115"/>
      <c r="X20" s="115"/>
      <c r="Y20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273</v>
      </c>
      <c r="Z20" s="272">
        <f>AVERAGE(MASCHI4[[#This Row],[18-feb]:[Data 18]])</f>
        <v>9.5</v>
      </c>
      <c r="AA20" s="178"/>
      <c r="AB20" s="179"/>
      <c r="AC20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273</v>
      </c>
      <c r="AD20" s="273">
        <f t="shared" si="4"/>
        <v>68.25</v>
      </c>
      <c r="AE20" s="81"/>
    </row>
    <row r="21" customHeight="1" spans="1:31">
      <c r="A21" s="230">
        <f t="shared" si="2"/>
        <v>13</v>
      </c>
      <c r="B21" s="231" t="s">
        <v>127</v>
      </c>
      <c r="C21" s="112">
        <v>2009</v>
      </c>
      <c r="D21" s="112"/>
      <c r="E21" s="113">
        <f t="shared" si="3"/>
        <v>4</v>
      </c>
      <c r="F21" s="232" t="s">
        <v>80</v>
      </c>
      <c r="G21" s="233"/>
      <c r="H21" s="115"/>
      <c r="I21" s="115">
        <v>3</v>
      </c>
      <c r="J21" s="115"/>
      <c r="K21" s="115"/>
      <c r="L21" s="115">
        <v>10</v>
      </c>
      <c r="M21" s="115"/>
      <c r="N21" s="115"/>
      <c r="O21" s="115">
        <v>9</v>
      </c>
      <c r="P21" s="115">
        <v>19</v>
      </c>
      <c r="Q21" s="115"/>
      <c r="R21" s="115"/>
      <c r="S21" s="115"/>
      <c r="T21" s="115"/>
      <c r="U21" s="115"/>
      <c r="V21" s="115"/>
      <c r="W21" s="115"/>
      <c r="X21" s="115"/>
      <c r="Y21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241</v>
      </c>
      <c r="Z21" s="272">
        <f>AVERAGE(MASCHI4[[#This Row],[18-feb]:[Data 18]])</f>
        <v>10.25</v>
      </c>
      <c r="AA21" s="178"/>
      <c r="AB21" s="179"/>
      <c r="AC21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241</v>
      </c>
      <c r="AD21" s="273">
        <f t="shared" si="4"/>
        <v>60.25</v>
      </c>
      <c r="AE21" s="81"/>
    </row>
    <row r="22" customHeight="1" spans="1:31">
      <c r="A22" s="230">
        <f t="shared" si="2"/>
        <v>14</v>
      </c>
      <c r="B22" s="231" t="s">
        <v>128</v>
      </c>
      <c r="C22" s="112">
        <v>2009</v>
      </c>
      <c r="D22" s="112"/>
      <c r="E22" s="113">
        <f t="shared" si="3"/>
        <v>5</v>
      </c>
      <c r="F22" s="232" t="s">
        <v>83</v>
      </c>
      <c r="G22" s="233"/>
      <c r="H22" s="115">
        <v>14</v>
      </c>
      <c r="I22" s="115"/>
      <c r="J22" s="115">
        <v>13</v>
      </c>
      <c r="K22" s="115">
        <v>21</v>
      </c>
      <c r="L22" s="115"/>
      <c r="M22" s="115">
        <v>12</v>
      </c>
      <c r="N22" s="115"/>
      <c r="O22" s="115">
        <v>12</v>
      </c>
      <c r="P22" s="115"/>
      <c r="Q22" s="115"/>
      <c r="R22" s="115"/>
      <c r="S22" s="115"/>
      <c r="T22" s="115"/>
      <c r="U22" s="115"/>
      <c r="V22" s="115"/>
      <c r="W22" s="115"/>
      <c r="X22" s="115"/>
      <c r="Y22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233</v>
      </c>
      <c r="Z22" s="272">
        <f>AVERAGE(MASCHI4[[#This Row],[18-feb]:[Data 18]])</f>
        <v>14.4</v>
      </c>
      <c r="AA22" s="178"/>
      <c r="AB22" s="179"/>
      <c r="AC22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233</v>
      </c>
      <c r="AD22" s="273">
        <f t="shared" si="4"/>
        <v>46.6</v>
      </c>
      <c r="AE22" s="81"/>
    </row>
    <row r="23" customHeight="1" spans="1:31">
      <c r="A23" s="230">
        <f t="shared" si="2"/>
        <v>15</v>
      </c>
      <c r="B23" s="231" t="s">
        <v>129</v>
      </c>
      <c r="C23" s="112">
        <v>2011</v>
      </c>
      <c r="D23" s="112"/>
      <c r="E23" s="113">
        <f t="shared" si="3"/>
        <v>4</v>
      </c>
      <c r="F23" s="232" t="s">
        <v>78</v>
      </c>
      <c r="G23" s="233"/>
      <c r="H23" s="115">
        <v>11</v>
      </c>
      <c r="I23" s="115"/>
      <c r="J23" s="115">
        <v>15</v>
      </c>
      <c r="K23" s="115"/>
      <c r="L23" s="115">
        <v>15</v>
      </c>
      <c r="M23" s="115"/>
      <c r="N23" s="115"/>
      <c r="O23" s="115">
        <v>13</v>
      </c>
      <c r="P23" s="115"/>
      <c r="Q23" s="115"/>
      <c r="R23" s="115"/>
      <c r="S23" s="115"/>
      <c r="T23" s="115"/>
      <c r="U23" s="115"/>
      <c r="V23" s="115"/>
      <c r="W23" s="115"/>
      <c r="X23" s="115"/>
      <c r="Y23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194</v>
      </c>
      <c r="Z23" s="272">
        <f>AVERAGE(MASCHI4[[#This Row],[18-feb]:[Data 18]])</f>
        <v>13.5</v>
      </c>
      <c r="AA23" s="178"/>
      <c r="AB23" s="179"/>
      <c r="AC23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194</v>
      </c>
      <c r="AD23" s="273">
        <f t="shared" si="4"/>
        <v>48.5</v>
      </c>
      <c r="AE23" s="81"/>
    </row>
    <row r="24" customHeight="1" spans="1:31">
      <c r="A24" s="230">
        <f t="shared" si="2"/>
        <v>16</v>
      </c>
      <c r="B24" s="231" t="s">
        <v>130</v>
      </c>
      <c r="C24" s="112">
        <v>2007</v>
      </c>
      <c r="D24" s="112" t="s">
        <v>48</v>
      </c>
      <c r="E24" s="113">
        <f t="shared" si="3"/>
        <v>2</v>
      </c>
      <c r="F24" s="232" t="s">
        <v>80</v>
      </c>
      <c r="G24" s="233">
        <v>3</v>
      </c>
      <c r="H24" s="115">
        <v>2</v>
      </c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271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180</v>
      </c>
      <c r="Z24" s="272">
        <f>AVERAGE(MASCHI4[[#This Row],[18-feb]:[Data 18]])</f>
        <v>2.5</v>
      </c>
      <c r="AA24" s="178"/>
      <c r="AB24" s="179"/>
      <c r="AC24" s="180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180</v>
      </c>
      <c r="AD24" s="273">
        <f t="shared" si="4"/>
        <v>90</v>
      </c>
      <c r="AE24" s="81"/>
    </row>
    <row r="25" customHeight="1" spans="1:30">
      <c r="A25" s="237">
        <v>28</v>
      </c>
      <c r="B25" s="238" t="s">
        <v>131</v>
      </c>
      <c r="C25" s="239">
        <v>2007</v>
      </c>
      <c r="D25" s="239"/>
      <c r="E25" s="133">
        <f t="shared" si="3"/>
        <v>2</v>
      </c>
      <c r="F25" s="240" t="s">
        <v>83</v>
      </c>
      <c r="G25" s="241"/>
      <c r="H25" s="242"/>
      <c r="I25" s="255"/>
      <c r="J25" s="255"/>
      <c r="K25" s="135"/>
      <c r="L25" s="135"/>
      <c r="M25" s="256"/>
      <c r="N25" s="135">
        <v>2</v>
      </c>
      <c r="O25" s="135"/>
      <c r="P25" s="135">
        <v>11</v>
      </c>
      <c r="Q25" s="135"/>
      <c r="R25" s="135"/>
      <c r="S25" s="256"/>
      <c r="T25" s="256"/>
      <c r="U25" s="256"/>
      <c r="V25" s="256"/>
      <c r="W25" s="256"/>
      <c r="X25" s="135"/>
      <c r="Y25" s="19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150</v>
      </c>
      <c r="Z25" s="275">
        <f>AVERAGE(MASCHI4[[#This Row],[18-feb]:[Data 18]])</f>
        <v>6.5</v>
      </c>
      <c r="AA25" s="195"/>
      <c r="AB25" s="196"/>
      <c r="AC25" s="197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150</v>
      </c>
      <c r="AD25" s="198">
        <f t="shared" si="4"/>
        <v>75</v>
      </c>
    </row>
    <row r="26" customHeight="1" spans="1:30">
      <c r="A26" s="237">
        <v>28</v>
      </c>
      <c r="B26" s="238" t="s">
        <v>132</v>
      </c>
      <c r="C26" s="239"/>
      <c r="D26" s="239" t="s">
        <v>48</v>
      </c>
      <c r="E26" s="133">
        <f t="shared" si="3"/>
        <v>1</v>
      </c>
      <c r="F26" s="243" t="s">
        <v>83</v>
      </c>
      <c r="G26" s="241"/>
      <c r="H26" s="242"/>
      <c r="I26" s="255"/>
      <c r="J26" s="255"/>
      <c r="K26" s="135"/>
      <c r="L26" s="135"/>
      <c r="M26" s="256"/>
      <c r="N26" s="135"/>
      <c r="O26" s="135"/>
      <c r="P26" s="135">
        <v>1</v>
      </c>
      <c r="Q26" s="135"/>
      <c r="R26" s="135"/>
      <c r="S26" s="256"/>
      <c r="T26" s="256"/>
      <c r="U26" s="256"/>
      <c r="V26" s="256"/>
      <c r="W26" s="256"/>
      <c r="X26" s="135"/>
      <c r="Y26" s="19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115</v>
      </c>
      <c r="Z26" s="275">
        <f>AVERAGE(MASCHI4[[#This Row],[18-feb]:[Data 18]])</f>
        <v>1</v>
      </c>
      <c r="AA26" s="195"/>
      <c r="AB26" s="196"/>
      <c r="AC26" s="197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115</v>
      </c>
      <c r="AD26" s="198">
        <f t="shared" si="4"/>
        <v>115</v>
      </c>
    </row>
    <row r="27" customHeight="1" spans="1:30">
      <c r="A27" s="244">
        <f>IF(A26="Elenco",1,A26+1)</f>
        <v>29</v>
      </c>
      <c r="B27" s="238" t="s">
        <v>133</v>
      </c>
      <c r="C27" s="245">
        <v>2007</v>
      </c>
      <c r="D27" s="245"/>
      <c r="E27" s="126">
        <f t="shared" si="3"/>
        <v>2</v>
      </c>
      <c r="F27" s="240" t="s">
        <v>80</v>
      </c>
      <c r="G27" s="246"/>
      <c r="H27" s="247"/>
      <c r="I27" s="257"/>
      <c r="J27" s="257">
        <v>6</v>
      </c>
      <c r="K27" s="128">
        <v>17</v>
      </c>
      <c r="L27" s="128"/>
      <c r="M27" s="258"/>
      <c r="N27" s="128"/>
      <c r="O27" s="128"/>
      <c r="P27" s="128"/>
      <c r="Q27" s="128"/>
      <c r="R27" s="128"/>
      <c r="S27" s="258"/>
      <c r="T27" s="258"/>
      <c r="U27" s="258"/>
      <c r="V27" s="258"/>
      <c r="W27" s="258"/>
      <c r="X27" s="128"/>
      <c r="Y27" s="18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111</v>
      </c>
      <c r="Z27" s="276">
        <f>AVERAGE(MASCHI4[[#This Row],[18-feb]:[Data 18]])</f>
        <v>11.5</v>
      </c>
      <c r="AA27" s="189"/>
      <c r="AB27" s="190"/>
      <c r="AC27" s="19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111</v>
      </c>
      <c r="AD27" s="277">
        <f t="shared" si="4"/>
        <v>55.5</v>
      </c>
    </row>
    <row r="28" customHeight="1" spans="1:30">
      <c r="A28" s="244">
        <f>IF(A27="Elenco",1,A27+1)</f>
        <v>30</v>
      </c>
      <c r="B28" s="238" t="s">
        <v>134</v>
      </c>
      <c r="C28" s="245">
        <v>2012</v>
      </c>
      <c r="D28" s="245" t="s">
        <v>48</v>
      </c>
      <c r="E28" s="126">
        <f t="shared" si="3"/>
        <v>2</v>
      </c>
      <c r="F28" s="240" t="s">
        <v>117</v>
      </c>
      <c r="G28" s="246"/>
      <c r="H28" s="247"/>
      <c r="I28" s="257"/>
      <c r="J28" s="257"/>
      <c r="K28" s="128">
        <v>14</v>
      </c>
      <c r="L28" s="128"/>
      <c r="M28" s="258"/>
      <c r="N28" s="128">
        <v>20</v>
      </c>
      <c r="O28" s="128"/>
      <c r="P28" s="128"/>
      <c r="Q28" s="128"/>
      <c r="R28" s="128"/>
      <c r="S28" s="258"/>
      <c r="T28" s="258"/>
      <c r="U28" s="258"/>
      <c r="V28" s="258"/>
      <c r="W28" s="258"/>
      <c r="X28" s="128"/>
      <c r="Y28" s="18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82</v>
      </c>
      <c r="Z28" s="276">
        <f>AVERAGE(MASCHI4[[#This Row],[18-feb]:[Data 18]])</f>
        <v>17</v>
      </c>
      <c r="AA28" s="189"/>
      <c r="AB28" s="190"/>
      <c r="AC28" s="19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82</v>
      </c>
      <c r="AD28" s="277">
        <f t="shared" si="4"/>
        <v>41</v>
      </c>
    </row>
    <row r="29" customHeight="1" spans="1:30">
      <c r="A29" s="237">
        <f>IF(A28="Elenco",1,A28+1)</f>
        <v>31</v>
      </c>
      <c r="B29" s="238" t="s">
        <v>135</v>
      </c>
      <c r="C29" s="239">
        <v>2008</v>
      </c>
      <c r="D29" s="239" t="s">
        <v>54</v>
      </c>
      <c r="E29" s="133">
        <f t="shared" si="3"/>
        <v>1</v>
      </c>
      <c r="F29" s="243" t="s">
        <v>117</v>
      </c>
      <c r="G29" s="241"/>
      <c r="H29" s="242"/>
      <c r="I29" s="255"/>
      <c r="J29" s="255"/>
      <c r="K29" s="135">
        <v>7</v>
      </c>
      <c r="L29" s="135"/>
      <c r="M29" s="256"/>
      <c r="N29" s="135"/>
      <c r="O29" s="135"/>
      <c r="P29" s="135"/>
      <c r="Q29" s="135"/>
      <c r="R29" s="135"/>
      <c r="S29" s="256"/>
      <c r="T29" s="256"/>
      <c r="U29" s="256"/>
      <c r="V29" s="256"/>
      <c r="W29" s="256"/>
      <c r="X29" s="135"/>
      <c r="Y29" s="19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67</v>
      </c>
      <c r="Z29" s="275">
        <f>AVERAGE(MASCHI4[[#This Row],[18-feb]:[Data 18]])</f>
        <v>7</v>
      </c>
      <c r="AA29" s="195"/>
      <c r="AB29" s="196"/>
      <c r="AC29" s="197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67</v>
      </c>
      <c r="AD29" s="198">
        <f t="shared" si="4"/>
        <v>67</v>
      </c>
    </row>
    <row r="30" customHeight="1" spans="1:30">
      <c r="A30" s="237">
        <v>23</v>
      </c>
      <c r="B30" s="238" t="s">
        <v>136</v>
      </c>
      <c r="C30" s="239">
        <v>2011</v>
      </c>
      <c r="D30" s="239"/>
      <c r="E30" s="133">
        <f t="shared" si="3"/>
        <v>1</v>
      </c>
      <c r="F30" s="243" t="s">
        <v>83</v>
      </c>
      <c r="G30" s="241"/>
      <c r="H30" s="242"/>
      <c r="I30" s="255"/>
      <c r="J30" s="255"/>
      <c r="K30" s="135"/>
      <c r="L30" s="135"/>
      <c r="M30" s="256">
        <v>11</v>
      </c>
      <c r="N30" s="135"/>
      <c r="O30" s="135"/>
      <c r="P30" s="135"/>
      <c r="Q30" s="135"/>
      <c r="R30" s="135"/>
      <c r="S30" s="256"/>
      <c r="T30" s="256"/>
      <c r="U30" s="256"/>
      <c r="V30" s="256"/>
      <c r="W30" s="256"/>
      <c r="X30" s="135"/>
      <c r="Y30" s="19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55</v>
      </c>
      <c r="Z30" s="275">
        <f>AVERAGE(MASCHI4[[#This Row],[18-feb]:[Data 18]])</f>
        <v>11</v>
      </c>
      <c r="AA30" s="195"/>
      <c r="AB30" s="196"/>
      <c r="AC30" s="197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55</v>
      </c>
      <c r="AD30" s="198">
        <f t="shared" si="4"/>
        <v>55</v>
      </c>
    </row>
    <row r="31" customHeight="1" spans="1:30">
      <c r="A31" s="244">
        <f>IF(A30="Elenco",1,A30+1)</f>
        <v>24</v>
      </c>
      <c r="B31" s="238" t="s">
        <v>137</v>
      </c>
      <c r="C31" s="245">
        <v>2011</v>
      </c>
      <c r="D31" s="245"/>
      <c r="E31" s="126">
        <f t="shared" si="3"/>
        <v>1</v>
      </c>
      <c r="F31" s="240" t="s">
        <v>80</v>
      </c>
      <c r="G31" s="246"/>
      <c r="H31" s="247"/>
      <c r="I31" s="257"/>
      <c r="J31" s="257">
        <v>13</v>
      </c>
      <c r="K31" s="128"/>
      <c r="L31" s="128"/>
      <c r="M31" s="258"/>
      <c r="N31" s="128"/>
      <c r="O31" s="128"/>
      <c r="P31" s="128"/>
      <c r="Q31" s="128"/>
      <c r="R31" s="128"/>
      <c r="S31" s="258"/>
      <c r="T31" s="258"/>
      <c r="U31" s="258"/>
      <c r="V31" s="258"/>
      <c r="W31" s="258"/>
      <c r="X31" s="128"/>
      <c r="Y31" s="18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</v>
      </c>
      <c r="Z31" s="276">
        <f>AVERAGE(MASCHI4[[#This Row],[18-feb]:[Data 18]])</f>
        <v>13</v>
      </c>
      <c r="AA31" s="189"/>
      <c r="AB31" s="190"/>
      <c r="AC31" s="19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</v>
      </c>
      <c r="AD31" s="277">
        <f t="shared" si="4"/>
        <v>49</v>
      </c>
    </row>
    <row r="32" customHeight="1" spans="1:30">
      <c r="A32" s="248">
        <f>IF(A31="Elenco",1,A31+1)</f>
        <v>25</v>
      </c>
      <c r="B32" s="249" t="s">
        <v>138</v>
      </c>
      <c r="C32" s="245">
        <v>2010</v>
      </c>
      <c r="D32" s="245"/>
      <c r="E32" s="126">
        <f t="shared" si="3"/>
        <v>1</v>
      </c>
      <c r="F32" s="250" t="s">
        <v>83</v>
      </c>
      <c r="G32" s="246"/>
      <c r="H32" s="247">
        <v>13</v>
      </c>
      <c r="I32" s="257"/>
      <c r="J32" s="257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8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49</v>
      </c>
      <c r="Z32" s="276">
        <f>AVERAGE(MASCHI4[[#This Row],[18-feb]:[Data 18]])</f>
        <v>13</v>
      </c>
      <c r="AA32" s="189"/>
      <c r="AB32" s="190"/>
      <c r="AC32" s="19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49</v>
      </c>
      <c r="AD32" s="192">
        <f t="shared" si="4"/>
        <v>49</v>
      </c>
    </row>
    <row r="33" customHeight="1" spans="1:30">
      <c r="A33" s="244">
        <f>IF(A32="Elenco",1,A32+1)</f>
        <v>26</v>
      </c>
      <c r="B33" s="238" t="s">
        <v>139</v>
      </c>
      <c r="C33" s="245">
        <v>2013</v>
      </c>
      <c r="D33" s="245" t="s">
        <v>54</v>
      </c>
      <c r="E33" s="126">
        <f t="shared" si="3"/>
        <v>1</v>
      </c>
      <c r="F33" s="240" t="s">
        <v>82</v>
      </c>
      <c r="G33" s="246"/>
      <c r="H33" s="247"/>
      <c r="I33" s="257"/>
      <c r="J33" s="257"/>
      <c r="K33" s="128">
        <v>19</v>
      </c>
      <c r="L33" s="128"/>
      <c r="M33" s="258"/>
      <c r="N33" s="128"/>
      <c r="O33" s="128"/>
      <c r="P33" s="128"/>
      <c r="Q33" s="128"/>
      <c r="R33" s="128"/>
      <c r="S33" s="258"/>
      <c r="T33" s="258"/>
      <c r="U33" s="258"/>
      <c r="V33" s="258"/>
      <c r="W33" s="258"/>
      <c r="X33" s="128"/>
      <c r="Y33" s="187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37</v>
      </c>
      <c r="Z33" s="276">
        <f>AVERAGE(MASCHI4[[#This Row],[18-feb]:[Data 18]])</f>
        <v>19</v>
      </c>
      <c r="AA33" s="189"/>
      <c r="AB33" s="190"/>
      <c r="AC33" s="191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37</v>
      </c>
      <c r="AD33" s="277">
        <f t="shared" si="4"/>
        <v>37</v>
      </c>
    </row>
    <row r="34" customHeight="1" spans="1:30">
      <c r="A34" s="237">
        <v>27</v>
      </c>
      <c r="B34" s="238" t="s">
        <v>140</v>
      </c>
      <c r="C34" s="239">
        <v>2013</v>
      </c>
      <c r="D34" s="239" t="s">
        <v>48</v>
      </c>
      <c r="E34" s="133">
        <f t="shared" si="3"/>
        <v>1</v>
      </c>
      <c r="F34" s="243" t="s">
        <v>141</v>
      </c>
      <c r="G34" s="241"/>
      <c r="H34" s="242"/>
      <c r="I34" s="255"/>
      <c r="J34" s="255"/>
      <c r="K34" s="135"/>
      <c r="L34" s="135"/>
      <c r="M34" s="256"/>
      <c r="N34" s="135"/>
      <c r="O34" s="135"/>
      <c r="P34" s="135">
        <v>23</v>
      </c>
      <c r="Q34" s="135"/>
      <c r="R34" s="135"/>
      <c r="S34" s="256"/>
      <c r="T34" s="256"/>
      <c r="U34" s="256"/>
      <c r="V34" s="256"/>
      <c r="W34" s="256"/>
      <c r="X34" s="135"/>
      <c r="Y34" s="193">
        <f>IF(MASCHI4[[#This Row],[18-feb]]&lt;&gt;0,LOOKUP(MASCHI4[[#This Row],[18-feb]],Tabella4[1],Tabella4[100]),0)+IF(MASCHI4[[#This Row],[29-mar]]&lt;&gt;0,LOOKUP(MASCHI4[[#This Row],[29-mar]],Tabella4[1],Tabella4[100]),0)+IF(MASCHI4[[#This Row],[6/7 apr]]&lt;&gt;0,LOOKUP(MASCHI4[[#This Row],[6/7 apr]],Tabella4[1],Tabella4[100]),0)+IF(MASCHI4[[#This Row],[11-giu]]&lt;&gt;0,LOOKUP(MASCHI4[[#This Row],[11-giu]],Tabella4[1],Tabella4[100]),0)+IF(MASCHI4[[#This Row],[22/23-giu]]&lt;&gt;0,LOOKUP(MASCHI4[[#This Row],[22/23-giu]],Tabella4[1],Tabella4[100]),0)+IF(MASCHI4[[#This Row],[23-lug]]&lt;&gt;0,LOOKUP(MASCHI4[[#This Row],[23-lug]],Tabella4[1],Tabella4[100]),0)+IF(MASCHI4[[#This Row],[31-lug]]&lt;&gt;0,LOOKUP(MASCHI4[[#This Row],[31-lug]],Tabella4[1],Tabella4[100]),0)+IF(MASCHI4[[#This Row],[31-ago/01-sett]]&lt;&gt;0,LOOKUP(MASCHI4[[#This Row],[31-ago/01-sett]],Tabella4[1],Tabella4[100]),0)+IF(MASCHI4[[#This Row],[10-set]]&lt;&gt;0,LOOKUP(MASCHI4[[#This Row],[10-set]],Tabella4[1],Tabella4[100]),0)+IF(MASCHI4[[#This Row],[21-22 sett]]&lt;&gt;0,LOOKUP(MASCHI4[[#This Row],[21-22 sett]],Tabella4[1],Tabella4[100]),0)+IF(MASCHI4[[#This Row],[Data 11]]&lt;&gt;0,LOOKUP(MASCHI4[[#This Row],[Data 11]],Tabella4[1],Tabella4[100]),0)+IF(MASCHI4[[#This Row],[Data 12]]&lt;&gt;0,LOOKUP(MASCHI4[[#This Row],[Data 12]],Tabella4[1],Tabella4[100]),0)+IF(MASCHI4[[#This Row],[Data 13]]&lt;&gt;0,LOOKUP(MASCHI4[[#This Row],[Data 13]],Tabella4[1],Tabella4[100]),0)+IF(MASCHI4[[#This Row],[Data 14]]&lt;&gt;0,LOOKUP(MASCHI4[[#This Row],[Data 14]],Tabella4[1],Tabella4[100]),0)+IF(MASCHI4[[#This Row],[Data 15]]&lt;&gt;0,LOOKUP(MASCHI4[[#This Row],[Data 15]],Tabella4[1],Tabella4[100]),0)+IF(MASCHI4[[#This Row],[Data 16]]&lt;&gt;0,LOOKUP(MASCHI4[[#This Row],[Data 16]],Tabella4[1],Tabella4[100]),0)+IF(MASCHI4[[#This Row],[Data 17]]&lt;&gt;0,LOOKUP(MASCHI4[[#This Row],[Data 17]],Tabella4[1],Tabella4[100]),0)+IF(MASCHI4[[#This Row],[Data 18]]&lt;&gt;0,LOOKUP(MASCHI4[[#This Row],[Data 18]],Tabella4[1],Tabella4[100]),0)</f>
        <v>29</v>
      </c>
      <c r="Z34" s="275">
        <f>AVERAGE(MASCHI4[[#This Row],[18-feb]:[Data 18]])</f>
        <v>23</v>
      </c>
      <c r="AA34" s="195"/>
      <c r="AB34" s="196"/>
      <c r="AC34" s="197">
        <f>IFERROR(IF(MASCHI4[[#This Row],[TOTALE]]+(IF(MASCHI4[[#This Row],[ DATA    ]]="",0,LOOKUP(MASCHI4[[#This Row],[ DATA    ]],Tabella4[1],Tabella4[100])))=0,"",(MASCHI4[[#This Row],[TOTALE]]+(IF(MASCHI4[[#This Row],[ DATA    ]]="",0,(LOOKUP(MASCHI4[[#This Row],[ DATA    ]],Tabella4[1],Tabella4[100])))*1.5))),"")</f>
        <v>29</v>
      </c>
      <c r="AD34" s="198">
        <f t="shared" si="4"/>
        <v>29</v>
      </c>
    </row>
    <row r="35" customHeight="1" spans="1:6">
      <c r="A35" s="152"/>
      <c r="B35" s="148"/>
      <c r="E35" s="146"/>
      <c r="F35" s="251"/>
    </row>
    <row r="36" customHeight="1" spans="1:6">
      <c r="A36" s="152"/>
      <c r="B36" s="148"/>
      <c r="E36" s="146"/>
      <c r="F36" s="251"/>
    </row>
    <row r="37" customHeight="1" spans="1:6">
      <c r="A37" s="152"/>
      <c r="B37" s="148"/>
      <c r="E37" s="146"/>
      <c r="F37" s="251"/>
    </row>
    <row r="38" customHeight="1" spans="1:6">
      <c r="A38" s="152"/>
      <c r="B38" s="148"/>
      <c r="E38" s="146"/>
      <c r="F38" s="251"/>
    </row>
    <row r="39" customHeight="1" spans="1:6">
      <c r="A39" s="152"/>
      <c r="B39" s="148"/>
      <c r="E39" s="146"/>
      <c r="F39" s="251"/>
    </row>
    <row r="40" customHeight="1" spans="1:6">
      <c r="A40" s="152"/>
      <c r="B40" s="148"/>
      <c r="E40" s="146"/>
      <c r="F40" s="251"/>
    </row>
    <row r="41" customHeight="1" spans="1:6">
      <c r="A41" s="152"/>
      <c r="B41" s="148"/>
      <c r="E41" s="146"/>
      <c r="F41" s="251"/>
    </row>
    <row r="42" customHeight="1" spans="1:6">
      <c r="A42" s="152"/>
      <c r="B42" s="148"/>
      <c r="E42" s="146"/>
      <c r="F42" s="251"/>
    </row>
    <row r="43" customHeight="1" spans="1:6">
      <c r="A43" s="152"/>
      <c r="B43" s="148"/>
      <c r="E43" s="146"/>
      <c r="F43" s="251"/>
    </row>
    <row r="44" customHeight="1" spans="1:6">
      <c r="A44" s="152"/>
      <c r="B44" s="148"/>
      <c r="E44" s="146"/>
      <c r="F44" s="251"/>
    </row>
    <row r="45" customHeight="1" spans="1:6">
      <c r="A45" s="152"/>
      <c r="B45" s="148"/>
      <c r="E45" s="146"/>
      <c r="F45" s="251"/>
    </row>
    <row r="46" customHeight="1" spans="1:6">
      <c r="A46" s="152"/>
      <c r="B46" s="148"/>
      <c r="E46" s="146"/>
      <c r="F46" s="251"/>
    </row>
    <row r="47" customHeight="1" spans="2:6">
      <c r="B47" s="200"/>
      <c r="C47" s="146"/>
      <c r="D47" s="146"/>
      <c r="E47" s="146"/>
      <c r="F47" s="252"/>
    </row>
    <row r="48" customHeight="1" spans="2:6">
      <c r="B48" s="200"/>
      <c r="C48" s="146"/>
      <c r="D48" s="146"/>
      <c r="E48" s="146"/>
      <c r="F48" s="252"/>
    </row>
    <row r="49" customHeight="1" spans="2:6">
      <c r="B49" s="201"/>
      <c r="C49" s="146"/>
      <c r="D49" s="146"/>
      <c r="E49" s="146"/>
      <c r="F49" s="252"/>
    </row>
    <row r="50" customHeight="1" spans="2:6">
      <c r="B50" s="200"/>
      <c r="C50" s="146"/>
      <c r="D50" s="146"/>
      <c r="E50" s="146"/>
      <c r="F50" s="252"/>
    </row>
    <row r="51" customHeight="1" spans="2:6">
      <c r="B51" s="200"/>
      <c r="C51" s="146"/>
      <c r="D51" s="146"/>
      <c r="E51" s="146"/>
      <c r="F51" s="252"/>
    </row>
    <row r="52" customHeight="1" spans="2:6">
      <c r="B52" s="201"/>
      <c r="C52" s="146"/>
      <c r="D52" s="146"/>
      <c r="E52" s="146"/>
      <c r="F52" s="252"/>
    </row>
    <row r="53" customHeight="1" spans="2:6">
      <c r="B53" s="200"/>
      <c r="C53" s="146"/>
      <c r="D53" s="146"/>
      <c r="E53" s="146"/>
      <c r="F53" s="252"/>
    </row>
    <row r="54" customHeight="1" spans="2:6">
      <c r="B54" s="200"/>
      <c r="C54" s="146"/>
      <c r="D54" s="146"/>
      <c r="E54" s="146"/>
      <c r="F54" s="252"/>
    </row>
    <row r="55" customHeight="1" spans="2:6">
      <c r="B55" s="200"/>
      <c r="C55" s="146"/>
      <c r="D55" s="146"/>
      <c r="E55" s="146"/>
      <c r="F55" s="252"/>
    </row>
    <row r="56" customHeight="1" spans="2:6">
      <c r="B56" s="200"/>
      <c r="C56" s="146"/>
      <c r="D56" s="146"/>
      <c r="E56" s="146"/>
      <c r="F56" s="252"/>
    </row>
    <row r="57" customHeight="1" spans="2:6">
      <c r="B57" s="200"/>
      <c r="C57" s="146"/>
      <c r="D57" s="146"/>
      <c r="E57" s="146"/>
      <c r="F57" s="252"/>
    </row>
  </sheetData>
  <mergeCells count="7">
    <mergeCell ref="A1:AD1"/>
    <mergeCell ref="Y6:Y7"/>
    <mergeCell ref="AA6:AA7"/>
    <mergeCell ref="AC6:AC7"/>
    <mergeCell ref="AD6:AD7"/>
    <mergeCell ref="A4:E6"/>
    <mergeCell ref="G4:AD5"/>
  </mergeCells>
  <conditionalFormatting sqref="G9:X34">
    <cfRule type="containsBlanks" dxfId="25" priority="1">
      <formula>LEN(TRIM(G9))=0</formula>
    </cfRule>
  </conditionalFormatting>
  <dataValidations count="1">
    <dataValidation type="list" allowBlank="1" showInputMessage="1" showErrorMessage="1" sqref="D9:D34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headerFooter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1"/>
  <sheetViews>
    <sheetView zoomScale="70" zoomScaleNormal="70" workbookViewId="0">
      <selection activeCell="Q22" sqref="Q22"/>
    </sheetView>
  </sheetViews>
  <sheetFormatPr defaultColWidth="9.14285714285714" defaultRowHeight="25.5" customHeight="1"/>
  <cols>
    <col min="1" max="1" width="10.4285714285714" style="79" customWidth="1"/>
    <col min="2" max="2" width="40.2857142857143" style="80" customWidth="1"/>
    <col min="3" max="3" width="16.8571428571429" style="80" customWidth="1"/>
    <col min="4" max="4" width="14.5714285714286" style="80" customWidth="1"/>
    <col min="5" max="5" width="13.5714285714286" style="79" customWidth="1"/>
    <col min="6" max="6" width="21.4285714285714" style="79" customWidth="1"/>
    <col min="7" max="7" width="14.4285714285714" style="79" customWidth="1"/>
    <col min="8" max="8" width="17.7142857142857" style="79" customWidth="1"/>
    <col min="9" max="9" width="14.5714285714286" style="81" customWidth="1"/>
    <col min="10" max="10" width="14.7142857142857" style="79" customWidth="1"/>
    <col min="11" max="11" width="14.8571428571429" style="79" customWidth="1"/>
    <col min="12" max="12" width="14.1428571428571" style="79" customWidth="1"/>
    <col min="13" max="13" width="12.4285714285714" style="79" customWidth="1"/>
    <col min="14" max="14" width="16.7142857142857" style="79" customWidth="1"/>
    <col min="15" max="15" width="17" style="79" customWidth="1"/>
    <col min="16" max="16" width="14.2857142857143" style="79" customWidth="1"/>
    <col min="17" max="17" width="16.1428571428571" style="79" customWidth="1"/>
    <col min="18" max="18" width="10.1428571428571" style="79" customWidth="1"/>
    <col min="19" max="19" width="10.4285714285714" style="79" customWidth="1"/>
    <col min="20" max="20" width="10.5714285714286" style="79" customWidth="1"/>
    <col min="21" max="21" width="9" style="79" customWidth="1"/>
    <col min="22" max="22" width="10.1428571428571" style="79" customWidth="1"/>
    <col min="23" max="23" width="10" style="79" customWidth="1"/>
    <col min="24" max="24" width="10.5714285714286" style="79" customWidth="1"/>
    <col min="25" max="25" width="15" style="79" customWidth="1"/>
    <col min="26" max="26" width="4" style="79" customWidth="1"/>
    <col min="27" max="27" width="15.1428571428571" style="79" customWidth="1"/>
    <col min="28" max="28" width="4" style="79" customWidth="1"/>
    <col min="29" max="30" width="15" style="79" customWidth="1"/>
    <col min="31" max="16384" width="9.14285714285714" style="79"/>
  </cols>
  <sheetData>
    <row r="1" ht="72.95" customHeight="1" spans="1:30">
      <c r="A1" s="82" t="s">
        <v>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159"/>
    </row>
    <row r="2" customHeight="1" spans="1:30">
      <c r="A2" s="84"/>
      <c r="B2" s="85"/>
      <c r="C2" s="85"/>
      <c r="D2" s="85"/>
      <c r="E2" s="84"/>
      <c r="F2" s="84"/>
      <c r="G2" s="86">
        <f>IF(COUNTA(FEMMINE7[18-feb])=0,0,COUNTA(FEMMINE7[18-feb]))</f>
        <v>7</v>
      </c>
      <c r="H2" s="86">
        <f>IF(COUNTA(FEMMINE7[29-mar])=0,0,COUNTA(FEMMINE7[29-mar]))</f>
        <v>2</v>
      </c>
      <c r="I2" s="86">
        <f>IF(COUNTA(FEMMINE7[6/7 apr])=0,0,COUNTA(FEMMINE7[6/7 apr]))</f>
        <v>5</v>
      </c>
      <c r="J2" s="86">
        <f>IF(COUNTA(FEMMINE7[11-giu])=0,0,COUNTA(FEMMINE7[11-giu]))</f>
        <v>6</v>
      </c>
      <c r="K2" s="86">
        <f>IF(COUNTA(FEMMINE7[22/23 giu])=0,0,COUNTA(FEMMINE7[22/23 giu]))</f>
        <v>9</v>
      </c>
      <c r="L2" s="86">
        <f>IF(COUNTA(FEMMINE7[23-lug])=0,0,COUNTA(FEMMINE7[23-lug]))</f>
        <v>10</v>
      </c>
      <c r="M2" s="86">
        <f>IF(COUNTA(FEMMINE7[31-lug])=0,0,COUNTA(FEMMINE7[31-lug]))</f>
        <v>5</v>
      </c>
      <c r="N2" s="86">
        <f>IF(COUNTA(FEMMINE7[31-ago/01-set])=0,0,COUNTA(FEMMINE7[31-ago/01-set]))</f>
        <v>0</v>
      </c>
      <c r="O2" s="86">
        <f>IF(COUNTA(FEMMINE7[10-set])=0,0,COUNTA(FEMMINE7[10-set]))</f>
        <v>4</v>
      </c>
      <c r="P2" s="86">
        <f>IF(COUNTA(FEMMINE7[21-22 sett.])=0,0,COUNTA(FEMMINE7[21-22 sett.]))</f>
        <v>6</v>
      </c>
      <c r="Q2" s="86">
        <f>IF(COUNTA(FEMMINE7[Data 11])=0,0,COUNTA(FEMMINE7[Data 11]))</f>
        <v>0</v>
      </c>
      <c r="R2" s="86">
        <f>IF(COUNTA(FEMMINE7[Data 12])=0,0,COUNTA(FEMMINE7[Data 12]))</f>
        <v>0</v>
      </c>
      <c r="S2" s="86"/>
      <c r="T2" s="86"/>
      <c r="U2" s="86"/>
      <c r="V2" s="86"/>
      <c r="W2" s="86"/>
      <c r="X2" s="86">
        <f>IF(COUNTA(FEMMINE7[Data 18])=0,0,COUNTA(FEMMINE7[Data 18]))</f>
        <v>0</v>
      </c>
      <c r="Y2" s="86"/>
      <c r="Z2" s="86"/>
      <c r="AA2" s="86">
        <f>IF(COUNTA(FEMMINE7[Data 18])=0,0,COUNTA(FEMMINE7[Data 18]))</f>
        <v>0</v>
      </c>
      <c r="AB2" s="84"/>
      <c r="AC2" s="84"/>
      <c r="AD2" s="84"/>
    </row>
    <row r="3" customHeight="1" spans="1:30">
      <c r="A3" s="84"/>
      <c r="B3" s="87"/>
      <c r="C3" s="87"/>
      <c r="D3" s="87"/>
      <c r="E3" s="87"/>
      <c r="F3" s="88"/>
      <c r="G3" s="86">
        <f>IF(G2=0,0,1)</f>
        <v>1</v>
      </c>
      <c r="H3" s="86">
        <f>IF(H2=0,0,1)</f>
        <v>1</v>
      </c>
      <c r="I3" s="86">
        <f t="shared" ref="I3:X3" si="0">IF(I2=0,0,1)</f>
        <v>1</v>
      </c>
      <c r="J3" s="86">
        <f t="shared" si="0"/>
        <v>1</v>
      </c>
      <c r="K3" s="86">
        <f t="shared" si="0"/>
        <v>1</v>
      </c>
      <c r="L3" s="86">
        <f t="shared" si="0"/>
        <v>1</v>
      </c>
      <c r="M3" s="86">
        <f t="shared" si="0"/>
        <v>1</v>
      </c>
      <c r="N3" s="86">
        <f t="shared" si="0"/>
        <v>0</v>
      </c>
      <c r="O3" s="86">
        <f t="shared" si="0"/>
        <v>1</v>
      </c>
      <c r="P3" s="86">
        <f t="shared" si="0"/>
        <v>1</v>
      </c>
      <c r="Q3" s="86">
        <f t="shared" si="0"/>
        <v>0</v>
      </c>
      <c r="R3" s="86">
        <f t="shared" si="0"/>
        <v>0</v>
      </c>
      <c r="S3" s="86"/>
      <c r="T3" s="86"/>
      <c r="U3" s="86"/>
      <c r="V3" s="86"/>
      <c r="W3" s="86"/>
      <c r="X3" s="86">
        <f t="shared" si="0"/>
        <v>0</v>
      </c>
      <c r="Y3" s="86">
        <f>SUM(G3:X3)+AA3</f>
        <v>9</v>
      </c>
      <c r="Z3" s="86"/>
      <c r="AA3" s="86">
        <f t="shared" ref="AA3" si="1">IF(AA2=0,0,1)</f>
        <v>0</v>
      </c>
      <c r="AB3" s="84"/>
      <c r="AC3" s="84"/>
      <c r="AD3" s="84"/>
    </row>
    <row r="4" customHeight="1" spans="1:30">
      <c r="A4" s="89" t="s">
        <v>142</v>
      </c>
      <c r="B4" s="90"/>
      <c r="C4" s="90"/>
      <c r="D4" s="90"/>
      <c r="E4" s="91"/>
      <c r="F4" s="92"/>
      <c r="G4" s="93" t="s">
        <v>58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160"/>
    </row>
    <row r="5" customHeight="1" spans="1:30">
      <c r="A5" s="95"/>
      <c r="B5" s="96"/>
      <c r="C5" s="96"/>
      <c r="D5" s="96"/>
      <c r="E5" s="97"/>
      <c r="F5" s="98"/>
      <c r="G5" s="99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61"/>
    </row>
    <row r="6" customHeight="1" spans="1:36">
      <c r="A6" s="101"/>
      <c r="B6" s="102"/>
      <c r="C6" s="102"/>
      <c r="D6" s="102"/>
      <c r="E6" s="103"/>
      <c r="F6" s="84"/>
      <c r="G6" s="104" t="s">
        <v>59</v>
      </c>
      <c r="H6" s="104" t="s">
        <v>60</v>
      </c>
      <c r="I6" s="104" t="s">
        <v>61</v>
      </c>
      <c r="J6" s="104" t="s">
        <v>62</v>
      </c>
      <c r="K6" s="104" t="s">
        <v>63</v>
      </c>
      <c r="L6" s="104" t="s">
        <v>64</v>
      </c>
      <c r="M6" s="104" t="s">
        <v>65</v>
      </c>
      <c r="N6" s="104" t="s">
        <v>66</v>
      </c>
      <c r="O6" s="104" t="s">
        <v>67</v>
      </c>
      <c r="P6" s="104" t="s">
        <v>68</v>
      </c>
      <c r="Q6" s="104" t="s">
        <v>69</v>
      </c>
      <c r="R6" s="104" t="s">
        <v>70</v>
      </c>
      <c r="S6" s="104" t="s">
        <v>71</v>
      </c>
      <c r="T6" s="104" t="s">
        <v>72</v>
      </c>
      <c r="U6" s="104" t="s">
        <v>73</v>
      </c>
      <c r="V6" s="104" t="s">
        <v>74</v>
      </c>
      <c r="W6" s="104" t="s">
        <v>75</v>
      </c>
      <c r="X6" s="104" t="s">
        <v>76</v>
      </c>
      <c r="Y6" s="162"/>
      <c r="Z6" s="163"/>
      <c r="AA6" s="164" t="s">
        <v>16</v>
      </c>
      <c r="AB6" s="163"/>
      <c r="AC6" s="165" t="s">
        <v>17</v>
      </c>
      <c r="AD6" s="166" t="s">
        <v>18</v>
      </c>
      <c r="AE6" s="167"/>
      <c r="AF6" s="167"/>
      <c r="AG6" s="167"/>
      <c r="AH6" s="167"/>
      <c r="AI6" s="167"/>
      <c r="AJ6" s="167"/>
    </row>
    <row r="7" s="78" customFormat="1" customHeight="1" spans="1:30">
      <c r="A7" s="84"/>
      <c r="B7" s="85"/>
      <c r="C7" s="85"/>
      <c r="D7" s="85"/>
      <c r="E7" s="84"/>
      <c r="F7" s="84"/>
      <c r="G7" s="105" t="s">
        <v>77</v>
      </c>
      <c r="H7" s="105" t="s">
        <v>78</v>
      </c>
      <c r="I7" s="105" t="s">
        <v>79</v>
      </c>
      <c r="J7" s="155" t="s">
        <v>80</v>
      </c>
      <c r="K7" s="105" t="s">
        <v>82</v>
      </c>
      <c r="L7" s="105" t="s">
        <v>82</v>
      </c>
      <c r="M7" s="105" t="s">
        <v>83</v>
      </c>
      <c r="N7" s="105" t="s">
        <v>143</v>
      </c>
      <c r="O7" s="105" t="s">
        <v>84</v>
      </c>
      <c r="P7" s="105" t="s">
        <v>85</v>
      </c>
      <c r="Q7" s="105" t="s">
        <v>86</v>
      </c>
      <c r="R7" s="105" t="s">
        <v>87</v>
      </c>
      <c r="S7" s="105" t="s">
        <v>88</v>
      </c>
      <c r="T7" s="157" t="s">
        <v>89</v>
      </c>
      <c r="U7" s="157" t="s">
        <v>90</v>
      </c>
      <c r="V7" s="157" t="s">
        <v>91</v>
      </c>
      <c r="W7" s="157" t="s">
        <v>92</v>
      </c>
      <c r="X7" s="157" t="s">
        <v>93</v>
      </c>
      <c r="Y7" s="168"/>
      <c r="Z7" s="169"/>
      <c r="AA7" s="170"/>
      <c r="AB7" s="169"/>
      <c r="AC7" s="165"/>
      <c r="AD7" s="166"/>
    </row>
    <row r="8" ht="34.5" customHeight="1" spans="1:31">
      <c r="A8" s="106" t="s">
        <v>20</v>
      </c>
      <c r="B8" s="106" t="s">
        <v>21</v>
      </c>
      <c r="C8" s="107" t="s">
        <v>22</v>
      </c>
      <c r="D8" s="107" t="s">
        <v>23</v>
      </c>
      <c r="E8" s="108" t="s">
        <v>24</v>
      </c>
      <c r="F8" s="107" t="s">
        <v>25</v>
      </c>
      <c r="G8" s="327" t="s">
        <v>94</v>
      </c>
      <c r="H8" s="327" t="s">
        <v>95</v>
      </c>
      <c r="I8" s="327" t="s">
        <v>96</v>
      </c>
      <c r="J8" s="327" t="s">
        <v>97</v>
      </c>
      <c r="K8" s="327" t="s">
        <v>144</v>
      </c>
      <c r="L8" s="327" t="s">
        <v>99</v>
      </c>
      <c r="M8" s="327" t="s">
        <v>100</v>
      </c>
      <c r="N8" s="327" t="s">
        <v>145</v>
      </c>
      <c r="O8" s="327" t="s">
        <v>102</v>
      </c>
      <c r="P8" s="327" t="s">
        <v>146</v>
      </c>
      <c r="Q8" s="327" t="s">
        <v>104</v>
      </c>
      <c r="R8" s="327" t="s">
        <v>105</v>
      </c>
      <c r="S8" s="327" t="s">
        <v>106</v>
      </c>
      <c r="T8" s="328" t="s">
        <v>107</v>
      </c>
      <c r="U8" s="328" t="s">
        <v>108</v>
      </c>
      <c r="V8" s="328" t="s">
        <v>109</v>
      </c>
      <c r="W8" s="328" t="s">
        <v>110</v>
      </c>
      <c r="X8" s="328" t="s">
        <v>111</v>
      </c>
      <c r="Y8" s="54" t="s">
        <v>39</v>
      </c>
      <c r="Z8" s="171" t="s">
        <v>40</v>
      </c>
      <c r="AA8" s="322" t="s">
        <v>41</v>
      </c>
      <c r="AB8" s="173" t="s">
        <v>42</v>
      </c>
      <c r="AC8" s="174" t="s">
        <v>43</v>
      </c>
      <c r="AD8" s="175" t="s">
        <v>44</v>
      </c>
      <c r="AE8" s="81"/>
    </row>
    <row r="9" ht="34.5" customHeight="1" spans="1:31">
      <c r="A9" s="110">
        <f t="shared" ref="A9:A15" si="2">IF(A8="Elenco",1,A8+1)</f>
        <v>1</v>
      </c>
      <c r="B9" s="111" t="s">
        <v>147</v>
      </c>
      <c r="C9" s="112">
        <v>2010</v>
      </c>
      <c r="D9" s="112" t="s">
        <v>54</v>
      </c>
      <c r="E9" s="113">
        <f t="shared" ref="E9:E18" si="3">IF(COUNTA(G9:X9,AA9)=0,"",COUNTA(G9:X9,AA9))</f>
        <v>8</v>
      </c>
      <c r="F9" s="114" t="s">
        <v>117</v>
      </c>
      <c r="G9" s="115">
        <v>1</v>
      </c>
      <c r="H9" s="115"/>
      <c r="I9" s="115">
        <v>4</v>
      </c>
      <c r="J9" s="115">
        <v>3</v>
      </c>
      <c r="K9" s="115">
        <v>7</v>
      </c>
      <c r="L9" s="115">
        <v>4</v>
      </c>
      <c r="M9" s="115">
        <v>1</v>
      </c>
      <c r="N9" s="115"/>
      <c r="O9" s="115">
        <v>2</v>
      </c>
      <c r="P9" s="115">
        <v>1</v>
      </c>
      <c r="Q9" s="115"/>
      <c r="R9" s="115"/>
      <c r="S9" s="115"/>
      <c r="T9" s="115"/>
      <c r="U9" s="115"/>
      <c r="V9" s="115"/>
      <c r="W9" s="115"/>
      <c r="X9" s="115"/>
      <c r="Y9" s="176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752</v>
      </c>
      <c r="Z9" s="177">
        <f>AVERAGE(FEMMINE7[[#This Row],[18-feb]:[Data 18]])</f>
        <v>2.875</v>
      </c>
      <c r="AA9" s="178"/>
      <c r="AB9" s="179"/>
      <c r="AC9" s="180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752</v>
      </c>
      <c r="AD9" s="73">
        <f t="shared" ref="AD9:AD18" si="4">IFERROR(IF(E9=0,"",AC9/E9),"")</f>
        <v>94</v>
      </c>
      <c r="AE9" s="81"/>
    </row>
    <row r="10" customHeight="1" spans="1:31">
      <c r="A10" s="110">
        <f t="shared" si="2"/>
        <v>2</v>
      </c>
      <c r="B10" s="111" t="s">
        <v>148</v>
      </c>
      <c r="C10" s="112">
        <v>2007</v>
      </c>
      <c r="D10" s="112"/>
      <c r="E10" s="113">
        <f t="shared" si="3"/>
        <v>8</v>
      </c>
      <c r="F10" s="114" t="s">
        <v>83</v>
      </c>
      <c r="G10" s="115">
        <v>3</v>
      </c>
      <c r="H10" s="115">
        <v>1</v>
      </c>
      <c r="I10" s="115">
        <v>2</v>
      </c>
      <c r="J10" s="115">
        <v>6</v>
      </c>
      <c r="K10" s="115">
        <v>9</v>
      </c>
      <c r="L10" s="115">
        <v>7</v>
      </c>
      <c r="M10" s="115">
        <v>2</v>
      </c>
      <c r="N10" s="115"/>
      <c r="O10" s="115"/>
      <c r="P10" s="115">
        <v>6</v>
      </c>
      <c r="Q10" s="115"/>
      <c r="R10" s="115"/>
      <c r="S10" s="115"/>
      <c r="T10" s="115"/>
      <c r="U10" s="115"/>
      <c r="V10" s="115"/>
      <c r="W10" s="115"/>
      <c r="X10" s="115"/>
      <c r="Y10" s="176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658</v>
      </c>
      <c r="Z10" s="177">
        <f>AVERAGE(FEMMINE7[[#This Row],[18-feb]:[Data 18]])</f>
        <v>4.5</v>
      </c>
      <c r="AA10" s="178"/>
      <c r="AB10" s="179"/>
      <c r="AC10" s="180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658</v>
      </c>
      <c r="AD10" s="73">
        <f t="shared" si="4"/>
        <v>82.25</v>
      </c>
      <c r="AE10" s="81"/>
    </row>
    <row r="11" customHeight="1" spans="1:31">
      <c r="A11" s="110">
        <f t="shared" si="2"/>
        <v>3</v>
      </c>
      <c r="B11" s="111" t="s">
        <v>149</v>
      </c>
      <c r="C11" s="112">
        <v>2009</v>
      </c>
      <c r="D11" s="112" t="s">
        <v>54</v>
      </c>
      <c r="E11" s="113">
        <f t="shared" si="3"/>
        <v>6</v>
      </c>
      <c r="F11" s="114" t="s">
        <v>80</v>
      </c>
      <c r="G11" s="115">
        <v>2</v>
      </c>
      <c r="H11" s="115"/>
      <c r="I11" s="115"/>
      <c r="J11" s="115">
        <v>1</v>
      </c>
      <c r="K11" s="115">
        <v>2</v>
      </c>
      <c r="L11" s="115">
        <v>1</v>
      </c>
      <c r="M11" s="115">
        <v>3</v>
      </c>
      <c r="N11" s="115"/>
      <c r="O11" s="115">
        <v>1</v>
      </c>
      <c r="P11" s="115"/>
      <c r="Q11" s="115"/>
      <c r="R11" s="115"/>
      <c r="S11" s="115"/>
      <c r="T11" s="115"/>
      <c r="U11" s="115"/>
      <c r="V11" s="115"/>
      <c r="W11" s="115"/>
      <c r="X11" s="115"/>
      <c r="Y11" s="176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620</v>
      </c>
      <c r="Z11" s="177">
        <f>AVERAGE(FEMMINE7[[#This Row],[18-feb]:[Data 18]])</f>
        <v>1.66666666666667</v>
      </c>
      <c r="AA11" s="178"/>
      <c r="AB11" s="179"/>
      <c r="AC11" s="180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620</v>
      </c>
      <c r="AD11" s="73">
        <f t="shared" si="4"/>
        <v>103.333333333333</v>
      </c>
      <c r="AE11" s="81"/>
    </row>
    <row r="12" customHeight="1" spans="1:31">
      <c r="A12" s="110">
        <f t="shared" si="2"/>
        <v>4</v>
      </c>
      <c r="B12" s="111" t="s">
        <v>150</v>
      </c>
      <c r="C12" s="112">
        <v>2011</v>
      </c>
      <c r="D12" s="112" t="s">
        <v>54</v>
      </c>
      <c r="E12" s="113">
        <f t="shared" si="3"/>
        <v>6</v>
      </c>
      <c r="F12" s="114" t="s">
        <v>151</v>
      </c>
      <c r="G12" s="115">
        <v>5</v>
      </c>
      <c r="H12" s="115"/>
      <c r="I12" s="115"/>
      <c r="J12" s="115">
        <v>4</v>
      </c>
      <c r="K12" s="115">
        <v>8</v>
      </c>
      <c r="L12" s="115">
        <v>5</v>
      </c>
      <c r="M12" s="115"/>
      <c r="N12" s="115"/>
      <c r="O12" s="115">
        <v>2</v>
      </c>
      <c r="P12" s="115">
        <v>7</v>
      </c>
      <c r="Q12" s="115"/>
      <c r="R12" s="115"/>
      <c r="S12" s="115"/>
      <c r="T12" s="115"/>
      <c r="U12" s="115"/>
      <c r="V12" s="115"/>
      <c r="W12" s="115"/>
      <c r="X12" s="115"/>
      <c r="Y12" s="176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456</v>
      </c>
      <c r="Z12" s="177">
        <f>AVERAGE(FEMMINE7[[#This Row],[18-feb]:[Data 18]])</f>
        <v>5.16666666666667</v>
      </c>
      <c r="AA12" s="178"/>
      <c r="AB12" s="179"/>
      <c r="AC12" s="180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456</v>
      </c>
      <c r="AD12" s="73">
        <f t="shared" si="4"/>
        <v>76</v>
      </c>
      <c r="AE12" s="81"/>
    </row>
    <row r="13" customHeight="1" spans="1:31">
      <c r="A13" s="110">
        <f t="shared" si="2"/>
        <v>5</v>
      </c>
      <c r="B13" s="111" t="s">
        <v>152</v>
      </c>
      <c r="C13" s="112">
        <v>2010</v>
      </c>
      <c r="D13" s="112"/>
      <c r="E13" s="113">
        <f t="shared" si="3"/>
        <v>6</v>
      </c>
      <c r="F13" s="114" t="s">
        <v>82</v>
      </c>
      <c r="G13" s="115">
        <v>6</v>
      </c>
      <c r="H13" s="115">
        <v>2</v>
      </c>
      <c r="I13" s="115"/>
      <c r="J13" s="115"/>
      <c r="K13" s="115">
        <v>13</v>
      </c>
      <c r="L13" s="115">
        <v>6</v>
      </c>
      <c r="M13" s="115">
        <v>5</v>
      </c>
      <c r="N13" s="115"/>
      <c r="O13" s="115"/>
      <c r="P13" s="115">
        <v>9</v>
      </c>
      <c r="Q13" s="115"/>
      <c r="R13" s="115"/>
      <c r="S13" s="115"/>
      <c r="T13" s="115"/>
      <c r="U13" s="115"/>
      <c r="V13" s="115"/>
      <c r="W13" s="115"/>
      <c r="X13" s="115"/>
      <c r="Y13" s="176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420</v>
      </c>
      <c r="Z13" s="177">
        <f>AVERAGE(FEMMINE7[[#This Row],[18-feb]:[Data 18]])</f>
        <v>6.83333333333333</v>
      </c>
      <c r="AA13" s="178"/>
      <c r="AB13" s="179"/>
      <c r="AC13" s="180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420</v>
      </c>
      <c r="AD13" s="73">
        <f t="shared" si="4"/>
        <v>70</v>
      </c>
      <c r="AE13" s="81"/>
    </row>
    <row r="14" customHeight="1" spans="1:31">
      <c r="A14" s="110">
        <f t="shared" si="2"/>
        <v>6</v>
      </c>
      <c r="B14" s="111" t="s">
        <v>153</v>
      </c>
      <c r="C14" s="112">
        <v>2011</v>
      </c>
      <c r="D14" s="112" t="s">
        <v>54</v>
      </c>
      <c r="E14" s="113">
        <f t="shared" si="3"/>
        <v>5</v>
      </c>
      <c r="F14" s="114" t="s">
        <v>83</v>
      </c>
      <c r="G14" s="115">
        <v>4</v>
      </c>
      <c r="H14" s="115"/>
      <c r="I14" s="115">
        <v>3</v>
      </c>
      <c r="J14" s="115">
        <v>4</v>
      </c>
      <c r="K14" s="115">
        <v>6</v>
      </c>
      <c r="L14" s="115">
        <v>3</v>
      </c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76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400</v>
      </c>
      <c r="Z14" s="177">
        <f>AVERAGE(FEMMINE7[[#This Row],[18-feb]:[Data 18]])</f>
        <v>4</v>
      </c>
      <c r="AA14" s="178"/>
      <c r="AB14" s="179"/>
      <c r="AC14" s="180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400</v>
      </c>
      <c r="AD14" s="73">
        <f t="shared" si="4"/>
        <v>80</v>
      </c>
      <c r="AE14" s="81"/>
    </row>
    <row r="15" customHeight="1" spans="1:31">
      <c r="A15" s="110">
        <f t="shared" si="2"/>
        <v>7</v>
      </c>
      <c r="B15" s="111" t="s">
        <v>154</v>
      </c>
      <c r="C15" s="112">
        <v>2008</v>
      </c>
      <c r="D15" s="112" t="s">
        <v>155</v>
      </c>
      <c r="E15" s="113">
        <f t="shared" si="3"/>
        <v>4</v>
      </c>
      <c r="F15" s="114" t="s">
        <v>80</v>
      </c>
      <c r="G15" s="115"/>
      <c r="H15" s="115"/>
      <c r="I15" s="115">
        <v>1</v>
      </c>
      <c r="J15" s="115">
        <v>2</v>
      </c>
      <c r="K15" s="115">
        <v>3</v>
      </c>
      <c r="L15" s="115">
        <v>2</v>
      </c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76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390</v>
      </c>
      <c r="Z15" s="177">
        <f>AVERAGE(FEMMINE7[[#This Row],[18-feb]:[Data 18]])</f>
        <v>2</v>
      </c>
      <c r="AA15" s="178"/>
      <c r="AB15" s="179"/>
      <c r="AC15" s="180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390</v>
      </c>
      <c r="AD15" s="73">
        <f t="shared" si="4"/>
        <v>97.5</v>
      </c>
      <c r="AE15" s="81"/>
    </row>
    <row r="16" customHeight="1" spans="1:31">
      <c r="A16" s="116">
        <v>9</v>
      </c>
      <c r="B16" s="117" t="s">
        <v>156</v>
      </c>
      <c r="C16" s="118">
        <v>2012</v>
      </c>
      <c r="D16" s="118" t="s">
        <v>48</v>
      </c>
      <c r="E16" s="119">
        <f t="shared" si="3"/>
        <v>5</v>
      </c>
      <c r="F16" s="120" t="s">
        <v>117</v>
      </c>
      <c r="G16" s="121"/>
      <c r="H16" s="121"/>
      <c r="I16" s="121"/>
      <c r="J16" s="121"/>
      <c r="K16" s="121">
        <v>16</v>
      </c>
      <c r="L16" s="121">
        <v>9</v>
      </c>
      <c r="M16" s="121">
        <v>4</v>
      </c>
      <c r="N16" s="121"/>
      <c r="O16" s="121">
        <v>4</v>
      </c>
      <c r="P16" s="121">
        <v>8</v>
      </c>
      <c r="Q16" s="121"/>
      <c r="R16" s="121"/>
      <c r="S16" s="121"/>
      <c r="T16" s="121"/>
      <c r="U16" s="121"/>
      <c r="V16" s="121"/>
      <c r="W16" s="121"/>
      <c r="X16" s="121"/>
      <c r="Y16" s="181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328</v>
      </c>
      <c r="Z16" s="182">
        <f>AVERAGE(FEMMINE7[[#This Row],[18-feb]:[Data 18]])</f>
        <v>8.2</v>
      </c>
      <c r="AA16" s="183"/>
      <c r="AB16" s="184"/>
      <c r="AC16" s="185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328</v>
      </c>
      <c r="AD16" s="186">
        <f t="shared" si="4"/>
        <v>65.6</v>
      </c>
      <c r="AE16" s="81"/>
    </row>
    <row r="17" customHeight="1" spans="1:30">
      <c r="A17" s="122">
        <f>IF(A16="Elenco",1,A16+1)</f>
        <v>10</v>
      </c>
      <c r="B17" s="123" t="s">
        <v>157</v>
      </c>
      <c r="C17" s="124">
        <v>2011</v>
      </c>
      <c r="D17" s="125" t="s">
        <v>48</v>
      </c>
      <c r="E17" s="126">
        <f t="shared" si="3"/>
        <v>5</v>
      </c>
      <c r="F17" s="127" t="s">
        <v>82</v>
      </c>
      <c r="G17" s="128">
        <v>7</v>
      </c>
      <c r="H17" s="128"/>
      <c r="I17" s="128">
        <v>6</v>
      </c>
      <c r="J17" s="128"/>
      <c r="K17" s="128">
        <v>14</v>
      </c>
      <c r="L17" s="128">
        <v>8</v>
      </c>
      <c r="M17" s="128"/>
      <c r="N17" s="128"/>
      <c r="O17" s="128"/>
      <c r="P17" s="128">
        <v>10</v>
      </c>
      <c r="Q17" s="128"/>
      <c r="R17" s="128"/>
      <c r="S17" s="128"/>
      <c r="T17" s="128"/>
      <c r="U17" s="128"/>
      <c r="V17" s="128"/>
      <c r="W17" s="128"/>
      <c r="X17" s="128"/>
      <c r="Y17" s="187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306</v>
      </c>
      <c r="Z17" s="188">
        <f>AVERAGE(FEMMINE7[[#This Row],[18-feb]:[Data 18]])</f>
        <v>9</v>
      </c>
      <c r="AA17" s="189"/>
      <c r="AB17" s="190"/>
      <c r="AC17" s="191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306</v>
      </c>
      <c r="AD17" s="192">
        <f t="shared" si="4"/>
        <v>61.2</v>
      </c>
    </row>
    <row r="18" customHeight="1" spans="1:30">
      <c r="A18" s="129">
        <v>10</v>
      </c>
      <c r="B18" s="130" t="s">
        <v>158</v>
      </c>
      <c r="C18" s="131">
        <v>2011</v>
      </c>
      <c r="D18" s="132"/>
      <c r="E18" s="133">
        <f t="shared" si="3"/>
        <v>1</v>
      </c>
      <c r="F18" s="134" t="s">
        <v>82</v>
      </c>
      <c r="G18" s="135"/>
      <c r="H18" s="135"/>
      <c r="I18" s="135"/>
      <c r="J18" s="135"/>
      <c r="K18" s="135"/>
      <c r="L18" s="135">
        <v>11</v>
      </c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93">
        <f>IF(FEMMINE7[[#This Row],[18-feb]]&lt;&gt;0,LOOKUP(FEMMINE7[[#This Row],[18-feb]],Tabella4[1],Tabella4[100]),0)+IF(FEMMINE7[[#This Row],[29-mar]]&lt;&gt;0,LOOKUP(FEMMINE7[[#This Row],[29-mar]],Tabella4[1],Tabella4[100]),0)+IF(FEMMINE7[[#This Row],[6/7 apr]]&lt;&gt;0,LOOKUP(FEMMINE7[[#This Row],[6/7 apr]],Tabella4[1],Tabella4[100]),0)+IF(FEMMINE7[[#This Row],[11-giu]]&lt;&gt;0,LOOKUP(FEMMINE7[[#This Row],[11-giu]],Tabella4[1],Tabella4[100]),0)+IF(FEMMINE7[[#This Row],[22/23 giu]]&lt;&gt;0,LOOKUP(FEMMINE7[[#This Row],[22/23 giu]],Tabella4[1],Tabella4[100]),0)+IF(FEMMINE7[[#This Row],[23-lug]]&lt;&gt;0,LOOKUP(FEMMINE7[[#This Row],[23-lug]],Tabella4[1],Tabella4[100]),0)+IF(FEMMINE7[[#This Row],[31-lug]]&lt;&gt;0,LOOKUP(FEMMINE7[[#This Row],[31-lug]],Tabella4[1],Tabella4[100]),0)+IF(FEMMINE7[[#This Row],[31-ago/01-set]]&lt;&gt;0,LOOKUP(FEMMINE7[[#This Row],[31-ago/01-set]],Tabella4[1],Tabella4[100]),0)+IF(FEMMINE7[[#This Row],[10-set]]&lt;&gt;0,LOOKUP(FEMMINE7[[#This Row],[10-set]],Tabella4[1],Tabella4[100]),0)+IF(FEMMINE7[[#This Row],[21-22 sett.]]&lt;&gt;0,LOOKUP(FEMMINE7[[#This Row],[21-22 sett.]],Tabella4[1],Tabella4[100]),0)+IF(FEMMINE7[[#This Row],[Data 11]]&lt;&gt;0,LOOKUP(FEMMINE7[[#This Row],[Data 11]],Tabella4[1],Tabella4[100]),0)+IF(FEMMINE7[[#This Row],[Data 12]]&lt;&gt;0,LOOKUP(FEMMINE7[[#This Row],[Data 12]],Tabella4[1],Tabella4[100]),0)+IF(FEMMINE7[[#This Row],[Data 13]]&lt;&gt;0,LOOKUP(FEMMINE7[[#This Row],[Data 13]],Tabella4[1],Tabella4[100]),0)+IF(FEMMINE7[[#This Row],[Data 14]]&lt;&gt;0,LOOKUP(FEMMINE7[[#This Row],[Data 14]],Tabella4[1],Tabella4[100]),0)+IF(FEMMINE7[[#This Row],[Data 15]]&lt;&gt;0,LOOKUP(FEMMINE7[[#This Row],[Data 15]],Tabella4[1],Tabella4[100]),0)+IF(FEMMINE7[[#This Row],[Data 16]]&lt;&gt;0,LOOKUP(FEMMINE7[[#This Row],[Data 16]],Tabella4[1],Tabella4[100]),0)+IF(FEMMINE7[[#This Row],[Data 17]]&lt;&gt;0,LOOKUP(FEMMINE7[[#This Row],[Data 17]],Tabella4[1],Tabella4[100]),0)+IF(FEMMINE7[[#This Row],[Data 18]]&lt;&gt;0,LOOKUP(FEMMINE7[[#This Row],[Data 18]],Tabella4[1],Tabella4[100]),0)</f>
        <v>55</v>
      </c>
      <c r="Z18" s="194">
        <f>AVERAGE(FEMMINE7[[#This Row],[18-feb]:[Data 18]])</f>
        <v>11</v>
      </c>
      <c r="AA18" s="195"/>
      <c r="AB18" s="196"/>
      <c r="AC18" s="197">
        <f>IFERROR(IF(FEMMINE7[[#This Row],[TOTALE]]+(IF(FEMMINE7[[#This Row],[ DATA    ]]="",0,LOOKUP(FEMMINE7[[#This Row],[ DATA    ]],Tabella4[1],Tabella4[100])))=0,"",(FEMMINE7[[#This Row],[TOTALE]]+(IF(FEMMINE7[[#This Row],[ DATA    ]]="",0,(LOOKUP(FEMMINE7[[#This Row],[ DATA    ]],Tabella4[1],Tabella4[100])*1.5))))),"")</f>
        <v>55</v>
      </c>
      <c r="AD18" s="198">
        <f t="shared" si="4"/>
        <v>55</v>
      </c>
    </row>
    <row r="19" customHeight="1" spans="1:6">
      <c r="A19" s="136"/>
      <c r="B19" s="137"/>
      <c r="F19" s="138"/>
    </row>
    <row r="20" customHeight="1" spans="1:6">
      <c r="A20" s="136"/>
      <c r="B20" s="137"/>
      <c r="F20" s="138"/>
    </row>
    <row r="21" customHeight="1" spans="1:25">
      <c r="A21" s="136"/>
      <c r="F21" s="139"/>
      <c r="G21" s="32"/>
      <c r="H21" s="32"/>
      <c r="I21" s="32"/>
      <c r="J21" s="32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32"/>
      <c r="Y21" s="199"/>
    </row>
    <row r="22" customHeight="1" spans="1:27">
      <c r="A22" s="136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AA22" s="140"/>
    </row>
    <row r="23" customHeight="1" spans="1:27">
      <c r="A23" s="136"/>
      <c r="F23" s="139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AA23" s="140"/>
    </row>
    <row r="24" customHeight="1" spans="1:27">
      <c r="A24" s="136"/>
      <c r="F24" s="139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99"/>
      <c r="AA24" s="156"/>
    </row>
    <row r="25" customHeight="1" spans="1:27">
      <c r="A25" s="136"/>
      <c r="AA25" s="32"/>
    </row>
    <row r="26" customHeight="1" spans="1:1">
      <c r="A26" s="136"/>
    </row>
    <row r="27" customHeight="1" spans="1:6">
      <c r="A27" s="136"/>
      <c r="B27" s="141"/>
      <c r="E27" s="142"/>
      <c r="F27" s="143"/>
    </row>
    <row r="28" customHeight="1" spans="1:6">
      <c r="A28" s="136"/>
      <c r="B28" s="144"/>
      <c r="C28" s="145"/>
      <c r="D28" s="145"/>
      <c r="E28" s="146"/>
      <c r="F28" s="147"/>
    </row>
    <row r="29" customHeight="1" spans="1:6">
      <c r="A29" s="136"/>
      <c r="B29" s="148"/>
      <c r="C29" s="149"/>
      <c r="D29" s="149"/>
      <c r="E29" s="150"/>
      <c r="F29" s="151"/>
    </row>
    <row r="30" customHeight="1" spans="1:1">
      <c r="A30" s="136"/>
    </row>
    <row r="31" customHeight="1" spans="1:1">
      <c r="A31" s="136"/>
    </row>
    <row r="32" customHeight="1" spans="1:1">
      <c r="A32" s="136"/>
    </row>
    <row r="33" customHeight="1" spans="1:1">
      <c r="A33" s="136"/>
    </row>
    <row r="34" customHeight="1" spans="1:6">
      <c r="A34" s="152"/>
      <c r="B34" s="148"/>
      <c r="E34" s="153"/>
      <c r="F34" s="154"/>
    </row>
    <row r="35" customHeight="1" spans="1:6">
      <c r="A35" s="152"/>
      <c r="B35" s="148"/>
      <c r="E35" s="153"/>
      <c r="F35" s="154"/>
    </row>
    <row r="36" customHeight="1" spans="1:6">
      <c r="A36" s="152"/>
      <c r="B36" s="148"/>
      <c r="E36" s="153"/>
      <c r="F36" s="154"/>
    </row>
    <row r="37" customHeight="1" spans="1:6">
      <c r="A37" s="152"/>
      <c r="B37" s="148"/>
      <c r="E37" s="153"/>
      <c r="F37" s="154"/>
    </row>
    <row r="38" customHeight="1" spans="1:6">
      <c r="A38" s="152"/>
      <c r="B38" s="148"/>
      <c r="E38" s="153"/>
      <c r="F38" s="154"/>
    </row>
    <row r="39" customHeight="1" spans="1:6">
      <c r="A39" s="152"/>
      <c r="B39" s="148"/>
      <c r="E39" s="153"/>
      <c r="F39" s="154"/>
    </row>
    <row r="40" customHeight="1" spans="1:6">
      <c r="A40" s="152"/>
      <c r="B40" s="148"/>
      <c r="E40" s="153"/>
      <c r="F40" s="154"/>
    </row>
    <row r="41" customHeight="1" spans="1:6">
      <c r="A41" s="152"/>
      <c r="B41" s="148"/>
      <c r="E41" s="153"/>
      <c r="F41" s="154"/>
    </row>
    <row r="42" customHeight="1" spans="1:6">
      <c r="A42" s="152"/>
      <c r="B42" s="148"/>
      <c r="E42" s="153"/>
      <c r="F42" s="154"/>
    </row>
    <row r="43" customHeight="1" spans="1:6">
      <c r="A43" s="152"/>
      <c r="B43" s="148"/>
      <c r="E43" s="153"/>
      <c r="F43" s="154"/>
    </row>
    <row r="44" customHeight="1" spans="1:6">
      <c r="A44" s="152"/>
      <c r="B44" s="148"/>
      <c r="E44" s="153"/>
      <c r="F44" s="154"/>
    </row>
    <row r="45" customHeight="1" spans="1:6">
      <c r="A45" s="152"/>
      <c r="B45" s="148"/>
      <c r="E45" s="153"/>
      <c r="F45" s="154"/>
    </row>
    <row r="46" customHeight="1" spans="1:6">
      <c r="A46" s="152"/>
      <c r="B46" s="148"/>
      <c r="E46" s="153"/>
      <c r="F46" s="154"/>
    </row>
    <row r="47" customHeight="1" spans="1:6">
      <c r="A47" s="152"/>
      <c r="B47" s="148"/>
      <c r="E47" s="153"/>
      <c r="F47" s="154"/>
    </row>
    <row r="48" customHeight="1" spans="1:6">
      <c r="A48" s="152"/>
      <c r="B48" s="148"/>
      <c r="E48" s="153"/>
      <c r="F48" s="154"/>
    </row>
    <row r="49" customHeight="1" spans="1:6">
      <c r="A49" s="152"/>
      <c r="B49" s="148"/>
      <c r="E49" s="153"/>
      <c r="F49" s="154"/>
    </row>
    <row r="50" customHeight="1" spans="1:6">
      <c r="A50" s="152"/>
      <c r="B50" s="148"/>
      <c r="E50" s="153"/>
      <c r="F50" s="154"/>
    </row>
    <row r="51" customHeight="1" spans="1:6">
      <c r="A51" s="152"/>
      <c r="B51" s="148"/>
      <c r="E51" s="153"/>
      <c r="F51" s="154"/>
    </row>
    <row r="52" customHeight="1" spans="1:6">
      <c r="A52" s="152"/>
      <c r="B52" s="148"/>
      <c r="E52" s="153"/>
      <c r="F52" s="154"/>
    </row>
    <row r="53" customHeight="1" spans="1:6">
      <c r="A53" s="152"/>
      <c r="B53" s="148"/>
      <c r="E53" s="153"/>
      <c r="F53" s="154"/>
    </row>
    <row r="54" customHeight="1" spans="1:6">
      <c r="A54" s="152"/>
      <c r="B54" s="148"/>
      <c r="E54" s="153"/>
      <c r="F54" s="154"/>
    </row>
    <row r="55" customHeight="1" spans="1:6">
      <c r="A55" s="152"/>
      <c r="B55" s="148"/>
      <c r="E55" s="153"/>
      <c r="F55" s="154"/>
    </row>
    <row r="56" customHeight="1" spans="1:6">
      <c r="A56" s="152"/>
      <c r="B56" s="148"/>
      <c r="E56" s="153"/>
      <c r="F56" s="154"/>
    </row>
    <row r="57" customHeight="1" spans="1:6">
      <c r="A57" s="152"/>
      <c r="B57" s="148"/>
      <c r="E57" s="153"/>
      <c r="F57" s="154"/>
    </row>
    <row r="58" customHeight="1" spans="1:6">
      <c r="A58" s="152"/>
      <c r="B58" s="148"/>
      <c r="E58" s="153"/>
      <c r="F58" s="154"/>
    </row>
    <row r="59" customHeight="1" spans="1:6">
      <c r="A59" s="152"/>
      <c r="B59" s="148"/>
      <c r="E59" s="153"/>
      <c r="F59" s="154"/>
    </row>
    <row r="60" customHeight="1" spans="1:6">
      <c r="A60" s="152"/>
      <c r="B60" s="148"/>
      <c r="E60" s="153"/>
      <c r="F60" s="154"/>
    </row>
    <row r="61" customHeight="1" spans="1:6">
      <c r="A61" s="152"/>
      <c r="B61" s="148"/>
      <c r="E61" s="153"/>
      <c r="F61" s="154"/>
    </row>
    <row r="62" customHeight="1" spans="1:6">
      <c r="A62" s="152"/>
      <c r="B62" s="148"/>
      <c r="E62" s="153"/>
      <c r="F62" s="154"/>
    </row>
    <row r="63" customHeight="1" spans="1:6">
      <c r="A63" s="152"/>
      <c r="B63" s="148"/>
      <c r="E63" s="153"/>
      <c r="F63" s="154"/>
    </row>
    <row r="64" customHeight="1" spans="1:6">
      <c r="A64" s="152"/>
      <c r="B64" s="148"/>
      <c r="E64" s="153"/>
      <c r="F64" s="154"/>
    </row>
    <row r="65" customHeight="1" spans="1:6">
      <c r="A65" s="152"/>
      <c r="B65" s="148"/>
      <c r="E65" s="153"/>
      <c r="F65" s="154"/>
    </row>
    <row r="66" customHeight="1" spans="1:6">
      <c r="A66" s="152"/>
      <c r="B66" s="148"/>
      <c r="E66" s="153"/>
      <c r="F66" s="154"/>
    </row>
    <row r="67" customHeight="1" spans="1:6">
      <c r="A67" s="152"/>
      <c r="B67" s="148"/>
      <c r="E67" s="153"/>
      <c r="F67" s="154"/>
    </row>
    <row r="68" customHeight="1" spans="1:6">
      <c r="A68" s="152"/>
      <c r="B68" s="148"/>
      <c r="E68" s="153"/>
      <c r="F68" s="154"/>
    </row>
    <row r="69" customHeight="1" spans="1:6">
      <c r="A69" s="152"/>
      <c r="B69" s="148"/>
      <c r="E69" s="153"/>
      <c r="F69" s="154"/>
    </row>
    <row r="70" customHeight="1" spans="1:6">
      <c r="A70" s="152"/>
      <c r="B70" s="148"/>
      <c r="E70" s="153"/>
      <c r="F70" s="154"/>
    </row>
    <row r="71" customHeight="1" spans="1:6">
      <c r="A71" s="152"/>
      <c r="B71" s="148"/>
      <c r="E71" s="153"/>
      <c r="F71" s="154"/>
    </row>
    <row r="72" customHeight="1" spans="1:6">
      <c r="A72" s="152"/>
      <c r="B72" s="148"/>
      <c r="E72" s="153"/>
      <c r="F72" s="154"/>
    </row>
    <row r="73" customHeight="1" spans="1:6">
      <c r="A73" s="152"/>
      <c r="B73" s="148"/>
      <c r="E73" s="153"/>
      <c r="F73" s="154"/>
    </row>
    <row r="74" customHeight="1" spans="1:6">
      <c r="A74" s="152"/>
      <c r="B74" s="148"/>
      <c r="E74" s="153"/>
      <c r="F74" s="154"/>
    </row>
    <row r="75" customHeight="1" spans="1:6">
      <c r="A75" s="152"/>
      <c r="B75" s="148"/>
      <c r="E75" s="153"/>
      <c r="F75" s="154"/>
    </row>
    <row r="76" customHeight="1" spans="1:6">
      <c r="A76" s="152"/>
      <c r="B76" s="148"/>
      <c r="E76" s="153"/>
      <c r="F76" s="154"/>
    </row>
    <row r="77" customHeight="1" spans="1:6">
      <c r="A77" s="152"/>
      <c r="B77" s="148"/>
      <c r="E77" s="153"/>
      <c r="F77" s="154"/>
    </row>
    <row r="78" customHeight="1" spans="1:6">
      <c r="A78" s="152"/>
      <c r="B78" s="148"/>
      <c r="E78" s="153"/>
      <c r="F78" s="154"/>
    </row>
    <row r="79" customHeight="1" spans="1:6">
      <c r="A79" s="152"/>
      <c r="B79" s="148"/>
      <c r="E79" s="153"/>
      <c r="F79" s="154"/>
    </row>
    <row r="80" customHeight="1" spans="1:6">
      <c r="A80" s="152"/>
      <c r="B80" s="148"/>
      <c r="E80" s="153"/>
      <c r="F80" s="154"/>
    </row>
    <row r="81" customHeight="1" spans="1:6">
      <c r="A81" s="152"/>
      <c r="B81" s="148"/>
      <c r="E81" s="153"/>
      <c r="F81" s="154"/>
    </row>
    <row r="82" customHeight="1" spans="1:6">
      <c r="A82" s="152"/>
      <c r="B82" s="148"/>
      <c r="E82" s="153"/>
      <c r="F82" s="154"/>
    </row>
    <row r="83" customHeight="1" spans="1:6">
      <c r="A83" s="152"/>
      <c r="B83" s="148"/>
      <c r="E83" s="153"/>
      <c r="F83" s="154"/>
    </row>
    <row r="84" customHeight="1" spans="1:6">
      <c r="A84" s="152"/>
      <c r="B84" s="148"/>
      <c r="E84" s="153"/>
      <c r="F84" s="154"/>
    </row>
    <row r="85" customHeight="1" spans="1:6">
      <c r="A85" s="152"/>
      <c r="B85" s="148"/>
      <c r="E85" s="153"/>
      <c r="F85" s="154"/>
    </row>
    <row r="86" customHeight="1" spans="1:6">
      <c r="A86" s="152"/>
      <c r="B86" s="148"/>
      <c r="E86" s="153"/>
      <c r="F86" s="154"/>
    </row>
    <row r="87" customHeight="1" spans="1:6">
      <c r="A87" s="152"/>
      <c r="B87" s="148"/>
      <c r="E87" s="153"/>
      <c r="F87" s="154"/>
    </row>
    <row r="88" customHeight="1" spans="1:6">
      <c r="A88" s="152"/>
      <c r="B88" s="148"/>
      <c r="E88" s="153"/>
      <c r="F88" s="154"/>
    </row>
    <row r="89" customHeight="1" spans="1:6">
      <c r="A89" s="152"/>
      <c r="B89" s="148"/>
      <c r="E89" s="153"/>
      <c r="F89" s="154"/>
    </row>
    <row r="90" customHeight="1" spans="1:6">
      <c r="A90" s="152"/>
      <c r="B90" s="148"/>
      <c r="E90" s="153"/>
      <c r="F90" s="154"/>
    </row>
    <row r="91" customHeight="1" spans="2:6">
      <c r="B91" s="200"/>
      <c r="C91" s="146"/>
      <c r="D91" s="146"/>
      <c r="E91" s="153"/>
      <c r="F91" s="138"/>
    </row>
    <row r="92" customHeight="1" spans="2:6">
      <c r="B92" s="200"/>
      <c r="C92" s="146"/>
      <c r="D92" s="146"/>
      <c r="E92" s="153"/>
      <c r="F92" s="138"/>
    </row>
    <row r="93" customHeight="1" spans="2:6">
      <c r="B93" s="201"/>
      <c r="C93" s="146"/>
      <c r="D93" s="146"/>
      <c r="E93" s="153"/>
      <c r="F93" s="138"/>
    </row>
    <row r="94" customHeight="1" spans="2:6">
      <c r="B94" s="200"/>
      <c r="C94" s="146"/>
      <c r="D94" s="146"/>
      <c r="E94" s="153"/>
      <c r="F94" s="138"/>
    </row>
    <row r="95" customHeight="1" spans="2:6">
      <c r="B95" s="200"/>
      <c r="C95" s="146"/>
      <c r="D95" s="146"/>
      <c r="E95" s="153"/>
      <c r="F95" s="138"/>
    </row>
    <row r="96" customHeight="1" spans="2:6">
      <c r="B96" s="201"/>
      <c r="C96" s="146"/>
      <c r="D96" s="146"/>
      <c r="E96" s="153"/>
      <c r="F96" s="138"/>
    </row>
    <row r="97" customHeight="1" spans="2:6">
      <c r="B97" s="200"/>
      <c r="C97" s="146"/>
      <c r="D97" s="146"/>
      <c r="E97" s="153"/>
      <c r="F97" s="138"/>
    </row>
    <row r="98" customHeight="1" spans="2:6">
      <c r="B98" s="200"/>
      <c r="C98" s="146"/>
      <c r="D98" s="146"/>
      <c r="E98" s="153"/>
      <c r="F98" s="138"/>
    </row>
    <row r="99" customHeight="1" spans="2:6">
      <c r="B99" s="200"/>
      <c r="C99" s="146"/>
      <c r="D99" s="146"/>
      <c r="E99" s="153"/>
      <c r="F99" s="138"/>
    </row>
    <row r="100" customHeight="1" spans="2:6">
      <c r="B100" s="200"/>
      <c r="C100" s="146"/>
      <c r="D100" s="146"/>
      <c r="E100" s="153"/>
      <c r="F100" s="138"/>
    </row>
    <row r="101" customHeight="1" spans="2:6">
      <c r="B101" s="200"/>
      <c r="C101" s="146"/>
      <c r="D101" s="146"/>
      <c r="E101" s="153"/>
      <c r="F101" s="138"/>
    </row>
  </sheetData>
  <mergeCells count="8">
    <mergeCell ref="A1:AD1"/>
    <mergeCell ref="B3:E3"/>
    <mergeCell ref="Y6:Y7"/>
    <mergeCell ref="AA6:AA7"/>
    <mergeCell ref="AC6:AC7"/>
    <mergeCell ref="AD6:AD7"/>
    <mergeCell ref="A4:E6"/>
    <mergeCell ref="G4:AD5"/>
  </mergeCells>
  <conditionalFormatting sqref="G9:X18">
    <cfRule type="containsBlanks" dxfId="25" priority="1">
      <formula>LEN(TRIM(G9))=0</formula>
    </cfRule>
  </conditionalFormatting>
  <dataValidations count="1">
    <dataValidation type="list" allowBlank="1" showInputMessage="1" showErrorMessage="1" sqref="D9:D18">
      <formula1>CATEGORIA</formula1>
    </dataValidation>
  </dataValidations>
  <pageMargins left="0.7" right="0.7" top="0.75" bottom="0.75" header="0.3" footer="0.3"/>
  <pageSetup paperSize="9" scale="130" orientation="portrait"/>
  <headerFooter/>
  <ignoredErrors>
    <ignoredError sqref="K8" twoDigitTextYear="1"/>
  </ignoredErrors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workbookViewId="0">
      <selection activeCell="A1" sqref="A1"/>
    </sheetView>
  </sheetViews>
  <sheetFormatPr defaultColWidth="23.8571428571429" defaultRowHeight="15"/>
  <cols>
    <col min="4" max="4" width="27.7142857142857" customWidth="1"/>
  </cols>
  <sheetData>
    <row r="1" ht="31.5" spans="1:14">
      <c r="A1" s="49" t="s">
        <v>20</v>
      </c>
      <c r="B1" s="50" t="s">
        <v>21</v>
      </c>
      <c r="C1" s="51" t="s">
        <v>22</v>
      </c>
      <c r="D1" s="51" t="s">
        <v>23</v>
      </c>
      <c r="E1" s="52" t="s">
        <v>159</v>
      </c>
      <c r="F1" s="49" t="s">
        <v>25</v>
      </c>
      <c r="G1" s="329" t="s">
        <v>26</v>
      </c>
      <c r="H1" s="54" t="s">
        <v>39</v>
      </c>
      <c r="I1" s="330" t="s">
        <v>16</v>
      </c>
      <c r="J1" s="68" t="s">
        <v>39</v>
      </c>
      <c r="K1" s="69" t="s">
        <v>44</v>
      </c>
      <c r="M1" s="331" t="s">
        <v>160</v>
      </c>
      <c r="N1" s="70"/>
    </row>
    <row r="2" ht="18.75" spans="1:14">
      <c r="A2" s="55">
        <v>1</v>
      </c>
      <c r="B2" s="56" t="s">
        <v>161</v>
      </c>
      <c r="C2" s="57">
        <v>2004</v>
      </c>
      <c r="D2" s="57" t="s">
        <v>48</v>
      </c>
      <c r="E2" s="58" t="s">
        <v>162</v>
      </c>
      <c r="F2" s="59" t="s">
        <v>163</v>
      </c>
      <c r="G2" s="60">
        <v>1</v>
      </c>
      <c r="H2" s="61">
        <v>100</v>
      </c>
      <c r="I2" s="71"/>
      <c r="J2" s="72" t="str">
        <f>IFERROR(IF(FEMMINE[[#This Row],[TOTALE]]+(IF(FEMMINE[[#This Row],[ DATA    ]]="",0,LOOKUP(FEMMINE[[#This Row],[ DATA    ]],Tabella4[1],Tabella4[100])))=0,"",(FEMMINE[[#This Row],[TOTALE]]+(IF(FEMMINE[[#This Row],[ DATA    ]]="",0,LOOKUP(FEMMINE[[#This Row],[ DATA    ]],Tabella4[1],Tabella4[100]))))),"")</f>
        <v/>
      </c>
      <c r="K2" s="73" t="str">
        <f>IFERROR(IF(E2=0,"",J2/E2),"")</f>
        <v/>
      </c>
      <c r="M2" s="74"/>
      <c r="N2" s="74"/>
    </row>
    <row r="3" spans="13:14">
      <c r="M3" s="74"/>
      <c r="N3" s="74"/>
    </row>
    <row r="5" spans="1:14">
      <c r="A5" s="62" t="s">
        <v>164</v>
      </c>
      <c r="B5" s="63" t="s">
        <v>165</v>
      </c>
      <c r="C5" s="63" t="s">
        <v>165</v>
      </c>
      <c r="D5" s="63" t="s">
        <v>166</v>
      </c>
      <c r="E5" s="64" t="s">
        <v>167</v>
      </c>
      <c r="F5" s="63" t="s">
        <v>168</v>
      </c>
      <c r="G5" s="65" t="s">
        <v>169</v>
      </c>
      <c r="H5" s="64" t="s">
        <v>164</v>
      </c>
      <c r="I5" s="65" t="s">
        <v>169</v>
      </c>
      <c r="J5" s="64" t="s">
        <v>164</v>
      </c>
      <c r="M5" s="32" t="s">
        <v>170</v>
      </c>
      <c r="N5" s="32" t="s">
        <v>171</v>
      </c>
    </row>
    <row r="6" spans="1:14">
      <c r="A6" s="62" t="s">
        <v>172</v>
      </c>
      <c r="B6" s="63" t="s">
        <v>173</v>
      </c>
      <c r="C6" s="63" t="s">
        <v>174</v>
      </c>
      <c r="D6" s="63" t="s">
        <v>175</v>
      </c>
      <c r="E6" s="64" t="s">
        <v>172</v>
      </c>
      <c r="F6" s="63" t="s">
        <v>176</v>
      </c>
      <c r="G6" s="65" t="s">
        <v>177</v>
      </c>
      <c r="H6" s="64" t="s">
        <v>172</v>
      </c>
      <c r="I6" s="65" t="s">
        <v>177</v>
      </c>
      <c r="J6" s="64" t="s">
        <v>172</v>
      </c>
      <c r="M6" s="32">
        <v>1</v>
      </c>
      <c r="N6" s="32">
        <v>115</v>
      </c>
    </row>
    <row r="7" spans="1:14">
      <c r="A7" s="62" t="s">
        <v>178</v>
      </c>
      <c r="D7" s="63"/>
      <c r="G7" s="65" t="s">
        <v>179</v>
      </c>
      <c r="H7" s="64" t="s">
        <v>180</v>
      </c>
      <c r="I7" s="65" t="s">
        <v>179</v>
      </c>
      <c r="J7" s="64" t="s">
        <v>180</v>
      </c>
      <c r="M7" s="32">
        <v>2</v>
      </c>
      <c r="N7" s="32">
        <v>95</v>
      </c>
    </row>
    <row r="8" spans="1:14">
      <c r="A8" s="62" t="s">
        <v>181</v>
      </c>
      <c r="D8" s="63" t="s">
        <v>182</v>
      </c>
      <c r="G8" s="65"/>
      <c r="H8" s="64" t="s">
        <v>183</v>
      </c>
      <c r="I8" s="65"/>
      <c r="J8" s="64" t="s">
        <v>183</v>
      </c>
      <c r="M8" s="32">
        <v>3</v>
      </c>
      <c r="N8" s="32">
        <v>85</v>
      </c>
    </row>
    <row r="9" spans="4:14">
      <c r="D9" s="63" t="s">
        <v>48</v>
      </c>
      <c r="G9" s="65" t="s">
        <v>184</v>
      </c>
      <c r="H9" s="64" t="s">
        <v>185</v>
      </c>
      <c r="I9" s="65" t="s">
        <v>184</v>
      </c>
      <c r="J9" s="64" t="s">
        <v>185</v>
      </c>
      <c r="M9" s="32">
        <v>4</v>
      </c>
      <c r="N9" s="32">
        <v>80</v>
      </c>
    </row>
    <row r="10" spans="4:14">
      <c r="D10" s="63" t="s">
        <v>54</v>
      </c>
      <c r="G10" s="65" t="s">
        <v>186</v>
      </c>
      <c r="H10" s="64" t="s">
        <v>187</v>
      </c>
      <c r="I10" s="65" t="s">
        <v>186</v>
      </c>
      <c r="J10" s="64" t="s">
        <v>187</v>
      </c>
      <c r="M10" s="32">
        <v>5</v>
      </c>
      <c r="N10" s="32">
        <v>75</v>
      </c>
    </row>
    <row r="11" spans="4:14">
      <c r="D11" s="63" t="s">
        <v>55</v>
      </c>
      <c r="G11" s="65"/>
      <c r="I11" s="65"/>
      <c r="M11" s="32">
        <v>6</v>
      </c>
      <c r="N11" s="32">
        <v>70</v>
      </c>
    </row>
    <row r="12" spans="7:14">
      <c r="G12" s="66" t="s">
        <v>188</v>
      </c>
      <c r="I12" s="66" t="s">
        <v>188</v>
      </c>
      <c r="J12" s="75" t="s">
        <v>189</v>
      </c>
      <c r="M12" s="32">
        <v>7</v>
      </c>
      <c r="N12" s="32">
        <v>67</v>
      </c>
    </row>
    <row r="13" spans="7:14">
      <c r="G13" s="66" t="s">
        <v>190</v>
      </c>
      <c r="I13" s="66" t="s">
        <v>190</v>
      </c>
      <c r="J13" s="76" t="s">
        <v>191</v>
      </c>
      <c r="M13" s="32">
        <v>8</v>
      </c>
      <c r="N13" s="32">
        <v>64</v>
      </c>
    </row>
    <row r="14" spans="7:14">
      <c r="G14" s="66" t="s">
        <v>192</v>
      </c>
      <c r="I14" s="66" t="s">
        <v>192</v>
      </c>
      <c r="J14" s="76" t="s">
        <v>193</v>
      </c>
      <c r="M14" s="32">
        <v>9</v>
      </c>
      <c r="N14" s="32">
        <v>61</v>
      </c>
    </row>
    <row r="15" spans="7:14">
      <c r="G15" s="66" t="s">
        <v>194</v>
      </c>
      <c r="I15" s="66" t="s">
        <v>194</v>
      </c>
      <c r="M15" s="32">
        <v>10</v>
      </c>
      <c r="N15" s="32">
        <v>58</v>
      </c>
    </row>
    <row r="16" spans="13:14">
      <c r="M16" s="32">
        <v>11</v>
      </c>
      <c r="N16" s="32">
        <v>55</v>
      </c>
    </row>
    <row r="17" spans="9:14">
      <c r="I17" s="77" t="s">
        <v>195</v>
      </c>
      <c r="M17" s="32">
        <v>12</v>
      </c>
      <c r="N17" s="32">
        <v>52</v>
      </c>
    </row>
    <row r="18" spans="9:14">
      <c r="I18" s="77" t="s">
        <v>196</v>
      </c>
      <c r="M18" s="32">
        <v>13</v>
      </c>
      <c r="N18" s="32">
        <v>49</v>
      </c>
    </row>
    <row r="19" spans="9:14">
      <c r="I19" s="77" t="s">
        <v>197</v>
      </c>
      <c r="M19" s="32">
        <v>14</v>
      </c>
      <c r="N19" s="32">
        <v>47</v>
      </c>
    </row>
    <row r="20" spans="9:14">
      <c r="I20" s="77" t="s">
        <v>198</v>
      </c>
      <c r="M20" s="32">
        <v>15</v>
      </c>
      <c r="N20" s="32">
        <v>45</v>
      </c>
    </row>
    <row r="21" spans="9:14">
      <c r="I21" s="77" t="s">
        <v>199</v>
      </c>
      <c r="M21" s="32">
        <v>16</v>
      </c>
      <c r="N21" s="32">
        <v>43</v>
      </c>
    </row>
    <row r="22" spans="13:14">
      <c r="M22" s="32">
        <v>17</v>
      </c>
      <c r="N22" s="32">
        <v>41</v>
      </c>
    </row>
    <row r="23" spans="13:14">
      <c r="M23" s="32">
        <v>18</v>
      </c>
      <c r="N23" s="32">
        <v>39</v>
      </c>
    </row>
    <row r="24" spans="13:14">
      <c r="M24" s="32">
        <v>19</v>
      </c>
      <c r="N24" s="32">
        <v>37</v>
      </c>
    </row>
    <row r="25" spans="13:14">
      <c r="M25" s="32">
        <v>20</v>
      </c>
      <c r="N25" s="32">
        <v>35</v>
      </c>
    </row>
    <row r="26" spans="13:14">
      <c r="M26" s="32">
        <v>21</v>
      </c>
      <c r="N26" s="32">
        <v>33</v>
      </c>
    </row>
    <row r="27" spans="13:14">
      <c r="M27" s="32">
        <v>22</v>
      </c>
      <c r="N27" s="32">
        <v>31</v>
      </c>
    </row>
    <row r="28" spans="13:14">
      <c r="M28" s="32">
        <v>23</v>
      </c>
      <c r="N28" s="32">
        <v>29</v>
      </c>
    </row>
    <row r="29" spans="13:14">
      <c r="M29" s="32">
        <v>24</v>
      </c>
      <c r="N29" s="32">
        <v>27</v>
      </c>
    </row>
    <row r="30" spans="13:14">
      <c r="M30" s="32">
        <v>25</v>
      </c>
      <c r="N30" s="32">
        <v>25</v>
      </c>
    </row>
    <row r="31" spans="13:14">
      <c r="M31" s="32">
        <v>26</v>
      </c>
      <c r="N31" s="32">
        <v>23</v>
      </c>
    </row>
    <row r="32" spans="13:14">
      <c r="M32" s="32">
        <v>27</v>
      </c>
      <c r="N32" s="32">
        <v>21</v>
      </c>
    </row>
    <row r="33" spans="13:14">
      <c r="M33" s="32">
        <v>28</v>
      </c>
      <c r="N33" s="32">
        <v>19</v>
      </c>
    </row>
    <row r="34" spans="13:14">
      <c r="M34" s="32">
        <v>29</v>
      </c>
      <c r="N34" s="32">
        <v>17</v>
      </c>
    </row>
    <row r="35" spans="13:14">
      <c r="M35" s="32">
        <v>30</v>
      </c>
      <c r="N35" s="32">
        <v>15</v>
      </c>
    </row>
    <row r="36" spans="13:14">
      <c r="M36" s="32">
        <v>31</v>
      </c>
      <c r="N36" s="32">
        <v>13</v>
      </c>
    </row>
    <row r="37" spans="13:14">
      <c r="M37" s="32">
        <v>32</v>
      </c>
      <c r="N37" s="32">
        <v>12</v>
      </c>
    </row>
    <row r="38" spans="13:14">
      <c r="M38" s="32">
        <v>33</v>
      </c>
      <c r="N38" s="32">
        <v>11</v>
      </c>
    </row>
    <row r="39" spans="13:14">
      <c r="M39" s="32">
        <v>34</v>
      </c>
      <c r="N39" s="32">
        <v>10</v>
      </c>
    </row>
    <row r="40" spans="13:14">
      <c r="M40" s="32">
        <v>35</v>
      </c>
      <c r="N40" s="32">
        <v>9</v>
      </c>
    </row>
    <row r="41" spans="13:14">
      <c r="M41" s="32">
        <v>36</v>
      </c>
      <c r="N41" s="32">
        <v>8</v>
      </c>
    </row>
    <row r="42" spans="13:14">
      <c r="M42" s="32">
        <v>37</v>
      </c>
      <c r="N42" s="32">
        <v>7</v>
      </c>
    </row>
    <row r="43" spans="13:14">
      <c r="M43" s="32">
        <v>38</v>
      </c>
      <c r="N43" s="32">
        <v>6</v>
      </c>
    </row>
    <row r="44" spans="13:14">
      <c r="M44" s="32">
        <v>39</v>
      </c>
      <c r="N44" s="32">
        <v>5</v>
      </c>
    </row>
    <row r="45" spans="13:14">
      <c r="M45" s="32">
        <v>40</v>
      </c>
      <c r="N45" s="32">
        <v>4</v>
      </c>
    </row>
    <row r="46" spans="13:14">
      <c r="M46" s="32" t="s">
        <v>56</v>
      </c>
      <c r="N46" s="32">
        <v>4</v>
      </c>
    </row>
  </sheetData>
  <sheetProtection algorithmName="SHA-512" hashValue="e2DmPSkBVHqXhCsVJLanKJqqCeVuBddUaOjZ94rL0CdnLfy3k82rlyG2SNewIBbRi78sCl0hva/ylty/Hblm5Q==" saltValue="x17ZR2UAQ9aRotzFvP++gA==" spinCount="100000" sheet="1" objects="1" scenarios="1"/>
  <mergeCells count="1">
    <mergeCell ref="M1:N3"/>
  </mergeCells>
  <conditionalFormatting sqref="G2">
    <cfRule type="containsBlanks" dxfId="25" priority="1">
      <formula>LEN(TRIM(G2))=0</formula>
    </cfRule>
  </conditionalFormatting>
  <dataValidations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J9" sqref="J9"/>
    </sheetView>
  </sheetViews>
  <sheetFormatPr defaultColWidth="16.7142857142857" defaultRowHeight="15"/>
  <sheetData>
    <row r="1" ht="15.75" spans="1:17">
      <c r="A1" s="1" t="s">
        <v>200</v>
      </c>
      <c r="B1" s="2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0">
      <c r="A2" s="4"/>
      <c r="B2" s="5"/>
      <c r="C2" s="3"/>
      <c r="D2" s="6" t="s">
        <v>201</v>
      </c>
      <c r="E2" s="7"/>
      <c r="F2" s="6" t="s">
        <v>202</v>
      </c>
      <c r="G2" s="7"/>
      <c r="H2" s="6" t="s">
        <v>203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7"/>
    </row>
    <row r="3" ht="15.75" spans="1:20">
      <c r="A3" s="8"/>
      <c r="B3" s="9"/>
      <c r="C3" s="3"/>
      <c r="D3" s="10" t="s">
        <v>204</v>
      </c>
      <c r="E3" s="11">
        <f>COUNTA(MASCHI[Nome Giocatore])</f>
        <v>3</v>
      </c>
      <c r="F3" s="10" t="s">
        <v>204</v>
      </c>
      <c r="G3" s="11" t="e">
        <f>(COUNTA(MASCHI[data1],MASCHI[data2],MASCHI[data3],MASCHI[data4],MASCHI[data5],MASCHI[data6],MASCHI[data7],MASCHI[data8],MASCHI[data9],MASCHI[data10],MASCHI[data11],MASCHI[data12],MASCHI[data13],MASCHI[ DATA    ]))/'CLASSIFICA MASCHILE vecchia'!T3</f>
        <v>#DIV/0!</v>
      </c>
      <c r="H3" s="12"/>
      <c r="I3" s="40">
        <v>2012</v>
      </c>
      <c r="J3" s="40">
        <v>2011</v>
      </c>
      <c r="K3" s="40">
        <v>2010</v>
      </c>
      <c r="L3" s="40">
        <v>2009</v>
      </c>
      <c r="M3" s="40">
        <v>2008</v>
      </c>
      <c r="N3" s="40">
        <v>2007</v>
      </c>
      <c r="O3" s="40">
        <v>2006</v>
      </c>
      <c r="P3" s="40">
        <v>2005</v>
      </c>
      <c r="Q3" s="40">
        <v>2004</v>
      </c>
      <c r="R3" s="40">
        <v>2003</v>
      </c>
      <c r="S3" s="40">
        <v>2002</v>
      </c>
      <c r="T3" s="46">
        <v>2001</v>
      </c>
    </row>
    <row r="4" ht="15.75" spans="1:20">
      <c r="A4" s="3"/>
      <c r="B4" s="3"/>
      <c r="C4" s="3"/>
      <c r="D4" s="10" t="s">
        <v>205</v>
      </c>
      <c r="E4" s="11">
        <f>COUNTA(FEMMINE[Nome Giocatore])</f>
        <v>3</v>
      </c>
      <c r="F4" s="10" t="s">
        <v>205</v>
      </c>
      <c r="G4" s="11" t="e">
        <f>(COUNTA(FEMMINE[data1],FEMMINE[data2],FEMMINE[data3],FEMMINE[data4],FEMMINE[data5],FEMMINE[data6],FEMMINE[data7],FEMMINE[data8],FEMMINE[data9],FEMMINE[data10],FEMMINE[data11],FEMMINE[data12],FEMMINE[data13],FEMMINE[ DATA    ]))/'CLASSIFICA FEMMINILE vecchia'!T3</f>
        <v>#DIV/0!</v>
      </c>
      <c r="H4" s="13" t="s">
        <v>206</v>
      </c>
      <c r="I4" s="18">
        <f>COUNTIF(MASCHI[Anno di nascita],'Statistiche per Responsabile'!I3)</f>
        <v>0</v>
      </c>
      <c r="J4" s="18">
        <f>COUNTIF(MASCHI[Qualifica 
(B-BG-BN)],'Statistiche per Responsabile'!J3)</f>
        <v>0</v>
      </c>
      <c r="K4" s="18">
        <f>COUNTIF(MASCHI[N° Gare],'Statistiche per Responsabile'!K3)</f>
        <v>0</v>
      </c>
      <c r="L4" s="18">
        <f>COUNTIF(MASCHI[Circolo di appartenenza],'Statistiche per Responsabile'!L3)</f>
        <v>0</v>
      </c>
      <c r="M4" s="18">
        <f>COUNTIF(MASCHI[data1],'Statistiche per Responsabile'!M3)</f>
        <v>0</v>
      </c>
      <c r="N4" s="18">
        <f>COUNTIF(MASCHI[data2],'Statistiche per Responsabile'!N3)</f>
        <v>0</v>
      </c>
      <c r="O4" s="18">
        <f>COUNTIF(MASCHI[data3],'Statistiche per Responsabile'!O3)</f>
        <v>0</v>
      </c>
      <c r="P4" s="18">
        <f>COUNTIF(MASCHI[data4],'Statistiche per Responsabile'!P3)</f>
        <v>0</v>
      </c>
      <c r="Q4" s="18">
        <f>COUNTIF(MASCHI[data5],'Statistiche per Responsabile'!Q3)</f>
        <v>0</v>
      </c>
      <c r="R4" s="18">
        <f>COUNTIF(MASCHI[data6],'Statistiche per Responsabile'!R3)</f>
        <v>0</v>
      </c>
      <c r="S4" s="18">
        <f>COUNTIF(MASCHI[data7],'Statistiche per Responsabile'!S3)</f>
        <v>0</v>
      </c>
      <c r="T4" s="47">
        <f>COUNTIF(MASCHI[data8],'Statistiche per Responsabile'!T3)</f>
        <v>0</v>
      </c>
    </row>
    <row r="5" ht="16.5" spans="1:20">
      <c r="A5" s="3"/>
      <c r="B5" s="3"/>
      <c r="C5" s="3"/>
      <c r="D5" s="14" t="s">
        <v>207</v>
      </c>
      <c r="E5" s="15">
        <f>E3+E4</f>
        <v>6</v>
      </c>
      <c r="F5" s="14" t="s">
        <v>207</v>
      </c>
      <c r="G5" s="15" t="e">
        <f>AVERAGE(G3:G4)</f>
        <v>#DIV/0!</v>
      </c>
      <c r="H5" s="16" t="s">
        <v>208</v>
      </c>
      <c r="I5" s="41">
        <f>COUNTIF(FEMMINE[Anno di nascita],'Statistiche per Responsabile'!I3)</f>
        <v>0</v>
      </c>
      <c r="J5" s="41">
        <f>COUNTIF(FEMMINE[Qualifica 
(B-BG-BN)],'Statistiche per Responsabile'!J3)</f>
        <v>0</v>
      </c>
      <c r="K5" s="41">
        <f>COUNTIF(FEMMINE[N° Gare],'Statistiche per Responsabile'!K3)</f>
        <v>0</v>
      </c>
      <c r="L5" s="41">
        <f>COUNTIF(FEMMINE[Circolo di appartenenza],'Statistiche per Responsabile'!L3)</f>
        <v>0</v>
      </c>
      <c r="M5" s="41">
        <f>COUNTIF(FEMMINE[data1],'Statistiche per Responsabile'!M3)</f>
        <v>0</v>
      </c>
      <c r="N5" s="41">
        <f>COUNTIF(FEMMINE[data2],'Statistiche per Responsabile'!N3)</f>
        <v>0</v>
      </c>
      <c r="O5" s="41">
        <f>COUNTIF(FEMMINE[data3],'Statistiche per Responsabile'!O3)</f>
        <v>0</v>
      </c>
      <c r="P5" s="41">
        <f>COUNTIF(FEMMINE[data4],'Statistiche per Responsabile'!P3)</f>
        <v>0</v>
      </c>
      <c r="Q5" s="41">
        <f>COUNTIF(FEMMINE[data5],'Statistiche per Responsabile'!Q3)</f>
        <v>0</v>
      </c>
      <c r="R5" s="41">
        <f>COUNTIF(FEMMINE[data6],'Statistiche per Responsabile'!R3)</f>
        <v>0</v>
      </c>
      <c r="S5" s="41">
        <f>COUNTIF(FEMMINE[data7],'Statistiche per Responsabile'!S3)</f>
        <v>0</v>
      </c>
      <c r="T5" s="48">
        <f>COUNTIF(FEMMINE[data8],'Statistiche per Responsabile'!T3)</f>
        <v>0</v>
      </c>
    </row>
    <row r="6" ht="15.75" spans="1:17">
      <c r="A6" s="3"/>
      <c r="B6" s="3"/>
      <c r="C6" s="3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ht="16.5" spans="1:17">
      <c r="A7" s="3"/>
      <c r="B7" s="3"/>
      <c r="C7" s="3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ht="15.75" spans="1:17">
      <c r="A8" s="3"/>
      <c r="B8" s="3"/>
      <c r="C8" s="3"/>
      <c r="D8" s="6" t="s">
        <v>209</v>
      </c>
      <c r="E8" s="19"/>
      <c r="F8" s="19"/>
      <c r="G8" s="19"/>
      <c r="H8" s="7"/>
      <c r="I8" s="6" t="s">
        <v>210</v>
      </c>
      <c r="J8" s="7"/>
      <c r="K8" s="18"/>
      <c r="L8" s="18"/>
      <c r="M8" s="18"/>
      <c r="N8" s="18"/>
      <c r="O8" s="18"/>
      <c r="P8" s="18"/>
      <c r="Q8" s="18"/>
    </row>
    <row r="9" ht="15.75" spans="1:17">
      <c r="A9" s="3"/>
      <c r="B9" s="3"/>
      <c r="C9" s="3"/>
      <c r="D9" s="20"/>
      <c r="E9" s="21" t="s">
        <v>211</v>
      </c>
      <c r="F9" s="21" t="s">
        <v>48</v>
      </c>
      <c r="G9" s="21" t="s">
        <v>54</v>
      </c>
      <c r="H9" s="11" t="s">
        <v>55</v>
      </c>
      <c r="I9" s="10" t="s">
        <v>204</v>
      </c>
      <c r="J9" s="42" t="e">
        <f>AVERAGE(MASCHI[Colonna16])</f>
        <v>#DIV/0!</v>
      </c>
      <c r="K9" s="43"/>
      <c r="L9" s="18"/>
      <c r="M9" s="18"/>
      <c r="N9" s="18"/>
      <c r="O9" s="18"/>
      <c r="P9" s="18"/>
      <c r="Q9" s="18"/>
    </row>
    <row r="10" spans="1:17">
      <c r="A10" s="3"/>
      <c r="B10" s="3"/>
      <c r="C10" s="3"/>
      <c r="D10" s="10" t="s">
        <v>204</v>
      </c>
      <c r="E10" s="22">
        <f>COUNTIFS(MASCHI[Qualifica 
(B-BG-BN)],"")-(COUNTIFS(MASCHI[Qualifica 
(B-BG-BN)],"",MASCHI[Nome Giocatore],""))</f>
        <v>3</v>
      </c>
      <c r="F10" s="23">
        <f>COUNTIF(MASCHI[Qualifica 
(B-BG-BN)],"B")</f>
        <v>0</v>
      </c>
      <c r="G10" s="23">
        <f>COUNTIF(MASCHI[Qualifica 
(B-BG-BN)],"BG")</f>
        <v>0</v>
      </c>
      <c r="H10" s="24">
        <f>COUNTIF(MASCHI[Qualifica 
(B-BG-BN)],"BN")</f>
        <v>0</v>
      </c>
      <c r="I10" s="10" t="s">
        <v>205</v>
      </c>
      <c r="J10" s="42" t="e">
        <f>AVERAGE(FEMMINE[Colonna16])</f>
        <v>#DIV/0!</v>
      </c>
      <c r="K10" s="3"/>
      <c r="L10" s="3"/>
      <c r="M10" s="3"/>
      <c r="N10" s="3"/>
      <c r="O10" s="3"/>
      <c r="P10" s="3"/>
      <c r="Q10" s="3"/>
    </row>
    <row r="11" ht="15.75" spans="1:17">
      <c r="A11" s="3"/>
      <c r="B11" s="3"/>
      <c r="C11" s="3"/>
      <c r="D11" s="10" t="s">
        <v>205</v>
      </c>
      <c r="E11" s="22">
        <f>COUNTIFS(FEMMINE[Qualifica 
(B-BG-BN)],"")-(COUNTIFS(FEMMINE[Qualifica 
(B-BG-BN)],"",FEMMINE[Nome Giocatore],""))</f>
        <v>2</v>
      </c>
      <c r="F11" s="23">
        <f>COUNTIF(FEMMINE[Qualifica 
(B-BG-BN)],"B")</f>
        <v>1</v>
      </c>
      <c r="G11" s="23">
        <f>COUNTIF(FEMMINE[Qualifica 
(B-BG-BN)],"BG")</f>
        <v>0</v>
      </c>
      <c r="H11" s="24">
        <f>COUNTIF(FEMMINE[Qualifica 
(B-BG-BN)],"BN")</f>
        <v>0</v>
      </c>
      <c r="I11" s="14" t="s">
        <v>207</v>
      </c>
      <c r="J11" s="44" t="e">
        <f>AVERAGE(J9:J10)</f>
        <v>#DIV/0!</v>
      </c>
      <c r="K11" s="45"/>
      <c r="L11" s="45"/>
      <c r="M11" s="45"/>
      <c r="N11" s="45"/>
      <c r="O11" s="45"/>
      <c r="P11" s="45"/>
      <c r="Q11" s="45"/>
    </row>
    <row r="12" ht="15.75" spans="1:17">
      <c r="A12" s="3"/>
      <c r="B12" s="3"/>
      <c r="C12" s="3"/>
      <c r="D12" s="14" t="s">
        <v>207</v>
      </c>
      <c r="E12" s="25">
        <f>E10+E11</f>
        <v>5</v>
      </c>
      <c r="F12" s="25">
        <f>F10+F11</f>
        <v>1</v>
      </c>
      <c r="G12" s="25">
        <f>G10+G11</f>
        <v>0</v>
      </c>
      <c r="H12" s="15">
        <f>H10+H11</f>
        <v>0</v>
      </c>
      <c r="I12" s="45"/>
      <c r="J12" s="45"/>
      <c r="K12" s="45"/>
      <c r="L12" s="45"/>
      <c r="M12" s="45"/>
      <c r="N12" s="45"/>
      <c r="O12" s="45"/>
      <c r="P12" s="45"/>
      <c r="Q12" s="45"/>
    </row>
    <row r="13" ht="15.75" spans="1:17">
      <c r="A13" s="3"/>
      <c r="B13" s="3"/>
      <c r="C13" s="3"/>
      <c r="D13" s="17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>
      <c r="A14" s="3"/>
      <c r="B14" s="3"/>
      <c r="C14" s="3"/>
      <c r="D14" s="17"/>
      <c r="E14" s="2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>
      <c r="A15" s="28"/>
      <c r="B15" s="3"/>
      <c r="C15" s="3"/>
      <c r="D15" s="1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29"/>
      <c r="B16" s="3"/>
      <c r="C16" s="30"/>
      <c r="D16" s="1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1"/>
      <c r="B17" s="32"/>
      <c r="C17" s="33"/>
      <c r="D17" s="1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>
      <c r="A18" s="31"/>
      <c r="B18" s="34"/>
      <c r="C18" s="33"/>
      <c r="D18" s="1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>
      <c r="A19" s="35"/>
      <c r="B19" s="36"/>
      <c r="C19" s="33"/>
      <c r="D19" s="1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2:17">
      <c r="B20" s="37"/>
      <c r="C20" s="38"/>
      <c r="D20" s="1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3"/>
      <c r="B21" s="3"/>
      <c r="C21" s="3"/>
      <c r="D21" s="1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A22" s="29"/>
      <c r="B22" s="3"/>
      <c r="C22" s="39"/>
      <c r="D22" s="1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31"/>
      <c r="B23" s="34"/>
      <c r="C23" s="33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A24" s="31"/>
      <c r="B24" s="34"/>
      <c r="C24" s="33"/>
      <c r="D24" s="1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>
      <c r="A25" s="35"/>
      <c r="B25" s="36"/>
      <c r="C25" s="33"/>
      <c r="D25" s="1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2:17">
      <c r="B26" s="37"/>
      <c r="C26" s="38"/>
      <c r="D26" s="1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3"/>
      <c r="B27" s="3"/>
      <c r="C27" s="3"/>
      <c r="D27" s="1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3"/>
      <c r="B28" s="3"/>
      <c r="C28" s="3"/>
      <c r="D28" s="1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4:4">
      <c r="D29" s="17"/>
    </row>
  </sheetData>
  <sheetProtection algorithmName="SHA-512" hashValue="bLBLRfK4OBLsRgzTTAxeAG+4Qmq3fjx+QJoXM+QFoGIpnNhbhXyRGcEGwoIwrWnR2TEO9/8RqbA4dQscG5Vdlw==" saltValue="CqZZzHP27Qrj0BboBBDhZQ==" spinCount="100000" sheet="1" objects="1" scenarios="1"/>
  <mergeCells count="6">
    <mergeCell ref="D2:E2"/>
    <mergeCell ref="F2:G2"/>
    <mergeCell ref="H2:T2"/>
    <mergeCell ref="D8:H8"/>
    <mergeCell ref="I8:J8"/>
    <mergeCell ref="A1:B3"/>
  </mergeCells>
  <pageMargins left="0.7" right="0.7" top="0.75" bottom="0.75" header="0.3" footer="0.3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8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CLASSIFICA MASCHILE vecchia</vt:lpstr>
      <vt:lpstr>CLASSIFICA FEMMINILE vecchia</vt:lpstr>
      <vt:lpstr>SISTEMA</vt:lpstr>
      <vt:lpstr>CLASSIFICA MASCHILE</vt:lpstr>
      <vt:lpstr>CLASSIFICA FEMMINILE</vt:lpstr>
      <vt:lpstr>Istruzioni</vt:lpstr>
      <vt:lpstr>Statistiche per Responsabile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Massimiliano Schneck</cp:lastModifiedBy>
  <dcterms:created xsi:type="dcterms:W3CDTF">2012-03-12T11:14:00Z</dcterms:created>
  <cp:lastPrinted>2019-07-15T08:05:00Z</cp:lastPrinted>
  <dcterms:modified xsi:type="dcterms:W3CDTF">2024-10-09T14:56:37Z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E1B48EE2B6DC47CAB13EB9F878B2BF76_12</vt:lpwstr>
  </property>
  <property fmtid="{D5CDD505-2E9C-101B-9397-08002B2CF9AE}" pid="3" name="KSOProductBuildVer">
    <vt:lpwstr>1033-12.2.0.18283</vt:lpwstr>
  </property>
</Properties>
</file>